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pakenbrooks-my.sharepoint.com/personal/bcielo_copaken-brooks_com/Documents/Family Reports/"/>
    </mc:Choice>
  </mc:AlternateContent>
  <xr:revisionPtr revIDLastSave="1" documentId="8_{364B4B51-0AD0-495A-A7F7-9A93D4E9E22B}" xr6:coauthVersionLast="46" xr6:coauthVersionMax="46" xr10:uidLastSave="{042E066F-78EC-4025-8631-FB390F367912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1'!$A$1:$J$53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E40" i="1"/>
  <c r="H40" i="1" s="1"/>
  <c r="G40" i="1"/>
  <c r="F40" i="1"/>
  <c r="C40" i="1"/>
  <c r="H39" i="1"/>
  <c r="C39" i="1"/>
  <c r="F39" i="1"/>
  <c r="I39" i="1"/>
  <c r="H12" i="1" l="1"/>
  <c r="H13" i="1"/>
  <c r="H14" i="1"/>
  <c r="H9" i="1"/>
  <c r="H6" i="1"/>
  <c r="I40" i="1" l="1"/>
  <c r="D40" i="1"/>
  <c r="B40" i="1"/>
  <c r="B39" i="1"/>
  <c r="J40" i="1" l="1"/>
  <c r="H7" i="1" l="1"/>
  <c r="J7" i="1" s="1"/>
  <c r="H8" i="1"/>
  <c r="J8" i="1" s="1"/>
  <c r="J9" i="1"/>
  <c r="J6" i="1"/>
  <c r="I43" i="1"/>
  <c r="E43" i="1"/>
  <c r="D43" i="1"/>
  <c r="C43" i="1"/>
  <c r="H43" i="1" s="1"/>
  <c r="J43" i="1" s="1"/>
  <c r="E39" i="1" l="1"/>
  <c r="D39" i="1"/>
  <c r="C41" i="1" l="1"/>
  <c r="G38" i="1"/>
  <c r="E38" i="1"/>
  <c r="D38" i="1"/>
  <c r="C38" i="1"/>
  <c r="H38" i="1" s="1"/>
  <c r="J38" i="1" s="1"/>
  <c r="G37" i="1"/>
  <c r="H37" i="1" s="1"/>
  <c r="J37" i="1" s="1"/>
  <c r="F37" i="1"/>
  <c r="E37" i="1"/>
  <c r="D37" i="1"/>
  <c r="C37" i="1"/>
  <c r="H22" i="1" l="1"/>
  <c r="J22" i="1" s="1"/>
  <c r="H20" i="1"/>
  <c r="J20" i="1" s="1"/>
  <c r="H19" i="1"/>
  <c r="J19" i="1" s="1"/>
  <c r="H16" i="1"/>
  <c r="J16" i="1" s="1"/>
  <c r="D18" i="1" l="1"/>
  <c r="E18" i="1"/>
  <c r="F18" i="1"/>
  <c r="G18" i="1"/>
  <c r="H18" i="1"/>
  <c r="I18" i="1"/>
  <c r="C18" i="1"/>
  <c r="J17" i="1"/>
  <c r="J18" i="1" s="1"/>
  <c r="H17" i="1"/>
  <c r="J12" i="1" l="1"/>
  <c r="J13" i="1"/>
  <c r="J14" i="1"/>
  <c r="H11" i="1"/>
  <c r="J11" i="1" s="1"/>
  <c r="D15" i="1"/>
  <c r="E15" i="1"/>
  <c r="F15" i="1"/>
  <c r="G15" i="1"/>
  <c r="I15" i="1"/>
  <c r="C15" i="1"/>
  <c r="J10" i="1"/>
  <c r="D10" i="1"/>
  <c r="E10" i="1"/>
  <c r="F10" i="1"/>
  <c r="G10" i="1"/>
  <c r="H10" i="1"/>
  <c r="I10" i="1"/>
  <c r="C10" i="1"/>
  <c r="J15" i="1" l="1"/>
  <c r="H15" i="1"/>
  <c r="F23" i="1"/>
  <c r="F34" i="1" s="1"/>
  <c r="D23" i="1"/>
  <c r="D34" i="1" s="1"/>
  <c r="E23" i="1"/>
  <c r="E34" i="1" s="1"/>
  <c r="G21" i="1"/>
  <c r="G23" i="1" s="1"/>
  <c r="G34" i="1" s="1"/>
  <c r="I21" i="1"/>
  <c r="I23" i="1" s="1"/>
  <c r="I34" i="1" s="1"/>
  <c r="C21" i="1"/>
  <c r="C23" i="1" s="1"/>
  <c r="C34" i="1" s="1"/>
  <c r="D51" i="1"/>
  <c r="E51" i="1"/>
  <c r="F51" i="1"/>
  <c r="G51" i="1"/>
  <c r="I51" i="1"/>
  <c r="C51" i="1"/>
  <c r="H21" i="1" l="1"/>
  <c r="E41" i="1"/>
  <c r="F41" i="1"/>
  <c r="D41" i="1"/>
  <c r="C44" i="1"/>
  <c r="J21" i="1" l="1"/>
  <c r="J23" i="1" s="1"/>
  <c r="J34" i="1" s="1"/>
  <c r="H23" i="1"/>
  <c r="H34" i="1" s="1"/>
  <c r="H41" i="1"/>
  <c r="J41" i="1" s="1"/>
  <c r="J44" i="1" l="1"/>
  <c r="D44" i="1"/>
  <c r="D53" i="1" s="1"/>
  <c r="E44" i="1"/>
  <c r="E53" i="1" s="1"/>
  <c r="F44" i="1"/>
  <c r="F53" i="1" s="1"/>
  <c r="G44" i="1"/>
  <c r="G53" i="1" s="1"/>
  <c r="H44" i="1"/>
  <c r="I44" i="1"/>
  <c r="I53" i="1" s="1"/>
  <c r="H48" i="1"/>
  <c r="J48" i="1" s="1"/>
  <c r="H49" i="1"/>
  <c r="J49" i="1" s="1"/>
  <c r="H50" i="1"/>
  <c r="J50" i="1" s="1"/>
  <c r="H47" i="1"/>
  <c r="J47" i="1" l="1"/>
  <c r="J51" i="1" s="1"/>
  <c r="J53" i="1" s="1"/>
  <c r="H51" i="1"/>
  <c r="H53" i="1" s="1"/>
</calcChain>
</file>

<file path=xl/sharedStrings.xml><?xml version="1.0" encoding="utf-8"?>
<sst xmlns="http://schemas.openxmlformats.org/spreadsheetml/2006/main" count="75" uniqueCount="61">
  <si>
    <r>
      <rPr>
        <sz val="8"/>
        <rFont val="Arial Narrow"/>
        <family val="2"/>
      </rPr>
      <t>1816 Walnut, LLC</t>
    </r>
  </si>
  <si>
    <r>
      <rPr>
        <sz val="8"/>
        <rFont val="Arial Narrow"/>
        <family val="2"/>
      </rPr>
      <t>CDDH, LLC</t>
    </r>
  </si>
  <si>
    <r>
      <rPr>
        <sz val="8"/>
        <rFont val="Arial Narrow"/>
        <family val="2"/>
      </rPr>
      <t>Corrigan Station LLC</t>
    </r>
  </si>
  <si>
    <r>
      <rPr>
        <u/>
        <sz val="8"/>
        <rFont val="Times New Roman"/>
        <family val="1"/>
      </rPr>
      <t>                     </t>
    </r>
    <r>
      <rPr>
        <u/>
        <sz val="8"/>
        <rFont val="Arial Narrow"/>
        <family val="2"/>
      </rPr>
      <t>0</t>
    </r>
  </si>
  <si>
    <r>
      <rPr>
        <b/>
        <sz val="8"/>
        <rFont val="Arial Narrow"/>
        <family val="2"/>
      </rPr>
      <t>TOTAL  OFFICE</t>
    </r>
  </si>
  <si>
    <r>
      <rPr>
        <b/>
        <sz val="8"/>
        <rFont val="Arial Narrow"/>
        <family val="2"/>
      </rPr>
      <t xml:space="preserve">RETAIL
</t>
    </r>
    <r>
      <rPr>
        <sz val="8"/>
        <rFont val="Arial Narrow"/>
        <family val="2"/>
      </rPr>
      <t>95Q Corner Properties, LLC</t>
    </r>
  </si>
  <si>
    <r>
      <rPr>
        <sz val="8"/>
        <rFont val="Arial Narrow"/>
        <family val="2"/>
      </rPr>
      <t>HB Building, L.L.C.</t>
    </r>
  </si>
  <si>
    <r>
      <rPr>
        <sz val="8"/>
        <rFont val="Arial Narrow"/>
        <family val="2"/>
      </rPr>
      <t>BP Development, L.P.</t>
    </r>
  </si>
  <si>
    <r>
      <rPr>
        <sz val="8"/>
        <rFont val="Arial Narrow"/>
        <family val="2"/>
      </rPr>
      <t>BP Market Square, LLC</t>
    </r>
  </si>
  <si>
    <r>
      <rPr>
        <b/>
        <sz val="8"/>
        <rFont val="Arial Narrow"/>
        <family val="2"/>
      </rPr>
      <t>TOTAL  RETAIL</t>
    </r>
  </si>
  <si>
    <r>
      <rPr>
        <b/>
        <sz val="8"/>
        <rFont val="Arial Narrow"/>
        <family val="2"/>
      </rPr>
      <t xml:space="preserve">DEVELOPMENT
</t>
    </r>
    <r>
      <rPr>
        <sz val="8"/>
        <rFont val="Arial Narrow"/>
        <family val="2"/>
      </rPr>
      <t>MGV LLC, Bldg #2 South</t>
    </r>
  </si>
  <si>
    <r>
      <rPr>
        <sz val="8"/>
        <rFont val="Arial Narrow"/>
        <family val="2"/>
      </rPr>
      <t>18th and Walnut Partners</t>
    </r>
  </si>
  <si>
    <r>
      <rPr>
        <b/>
        <sz val="8"/>
        <rFont val="Arial Narrow"/>
        <family val="2"/>
      </rPr>
      <t>TOTAL  DEVELOPMENT</t>
    </r>
  </si>
  <si>
    <r>
      <rPr>
        <b/>
        <sz val="8"/>
        <rFont val="Arial Narrow"/>
        <family val="2"/>
      </rPr>
      <t xml:space="preserve">VACANT GROUND
</t>
    </r>
    <r>
      <rPr>
        <sz val="8"/>
        <rFont val="Arial Narrow"/>
        <family val="2"/>
      </rPr>
      <t>112th &amp; Glenwood, LLC</t>
    </r>
  </si>
  <si>
    <r>
      <rPr>
        <sz val="8"/>
        <rFont val="Arial Narrow"/>
        <family val="2"/>
      </rPr>
      <t>112th &amp; Lamar, LLC</t>
    </r>
  </si>
  <si>
    <r>
      <rPr>
        <sz val="8"/>
        <rFont val="Arial Narrow"/>
        <family val="2"/>
      </rPr>
      <t>Seven Tracts-College Blvd, LLC</t>
    </r>
  </si>
  <si>
    <r>
      <rPr>
        <b/>
        <sz val="8"/>
        <rFont val="Arial Narrow"/>
        <family val="2"/>
      </rPr>
      <t>TOTAL  VACANT GROUND</t>
    </r>
  </si>
  <si>
    <r>
      <rPr>
        <b/>
        <sz val="8"/>
        <rFont val="Arial Narrow"/>
        <family val="2"/>
      </rPr>
      <t xml:space="preserve">INVESTMENT
</t>
    </r>
    <r>
      <rPr>
        <sz val="8"/>
        <rFont val="Arial Narrow"/>
        <family val="2"/>
      </rPr>
      <t>Copaken District Cap Partners</t>
    </r>
  </si>
  <si>
    <r>
      <rPr>
        <sz val="8"/>
        <rFont val="Arial Narrow"/>
        <family val="2"/>
      </rPr>
      <t>BP Residual Properties</t>
    </r>
  </si>
  <si>
    <r>
      <rPr>
        <sz val="8"/>
        <rFont val="Arial Narrow"/>
        <family val="2"/>
      </rPr>
      <t>CF Partners, LLC</t>
    </r>
  </si>
  <si>
    <r>
      <rPr>
        <sz val="8"/>
        <rFont val="Arial Narrow"/>
        <family val="2"/>
      </rPr>
      <t>CF 18 Walnut, LLC</t>
    </r>
  </si>
  <si>
    <r>
      <rPr>
        <sz val="8"/>
        <rFont val="Arial Narrow"/>
        <family val="2"/>
      </rPr>
      <t>CF 1816 Walnut, LLC</t>
    </r>
  </si>
  <si>
    <r>
      <rPr>
        <sz val="8"/>
        <rFont val="Arial Narrow"/>
        <family val="2"/>
      </rPr>
      <t>CF Ventures, LLC</t>
    </r>
  </si>
  <si>
    <r>
      <rPr>
        <sz val="8"/>
        <rFont val="Arial Narrow"/>
        <family val="2"/>
      </rPr>
      <t>CF Real Estate Holdings LLC</t>
    </r>
  </si>
  <si>
    <r>
      <rPr>
        <sz val="8"/>
        <rFont val="Arial Narrow"/>
        <family val="2"/>
      </rPr>
      <t>CB MGV, LLC</t>
    </r>
  </si>
  <si>
    <r>
      <rPr>
        <sz val="8"/>
        <rFont val="Arial Narrow"/>
        <family val="2"/>
      </rPr>
      <t>TC Corrigan LLC</t>
    </r>
  </si>
  <si>
    <r>
      <rPr>
        <b/>
        <sz val="8"/>
        <rFont val="Arial Narrow"/>
        <family val="2"/>
      </rPr>
      <t>TOTAL  INVESTMENT</t>
    </r>
  </si>
  <si>
    <t>% Owned</t>
  </si>
  <si>
    <t>NOI</t>
  </si>
  <si>
    <t>Debt Service</t>
  </si>
  <si>
    <t>Other Operating Adj</t>
  </si>
  <si>
    <t>Other Capital</t>
  </si>
  <si>
    <t>CASH FLOW</t>
  </si>
  <si>
    <t>CONT (DIST)</t>
  </si>
  <si>
    <t>NET</t>
  </si>
  <si>
    <t>NET CASH GENERATED FOR REAL ESTATE AND OTHER INVESTMENTS</t>
  </si>
  <si>
    <t>Leasing Costs         (TI &amp; Comm)</t>
  </si>
  <si>
    <t>Third Party Properties</t>
  </si>
  <si>
    <t>Plaza Colonnade</t>
  </si>
  <si>
    <t>ARTerra</t>
  </si>
  <si>
    <t>CBDI</t>
  </si>
  <si>
    <t>Frontier</t>
  </si>
  <si>
    <t>Prairie Capital</t>
  </si>
  <si>
    <t xml:space="preserve">Dividends &amp; Interest </t>
  </si>
  <si>
    <t xml:space="preserve">PE Distributions </t>
  </si>
  <si>
    <t>Maturities</t>
  </si>
  <si>
    <t>Reinvested DIV/Int</t>
  </si>
  <si>
    <t>TOTAL REAL ESTATE</t>
  </si>
  <si>
    <r>
      <rPr>
        <u/>
        <sz val="8"/>
        <rFont val="Arial Narrow"/>
        <family val="2"/>
      </rPr>
      <t>                     0</t>
    </r>
  </si>
  <si>
    <t>SUBTOTAL REAL ESTATE</t>
  </si>
  <si>
    <t>The District (Copaken Dist Cap Ptrs)</t>
  </si>
  <si>
    <t>SUBTOTAL PRAIRIE</t>
  </si>
  <si>
    <t>CB 1211 McGee,LLC</t>
  </si>
  <si>
    <t>Paul &amp; Lois (Combined)</t>
  </si>
  <si>
    <t>KCDH (Square Deal/CDDH)</t>
  </si>
  <si>
    <t>College-Lamar</t>
  </si>
  <si>
    <t>Town Pavilion LLC</t>
  </si>
  <si>
    <t xml:space="preserve">OFFICE
</t>
  </si>
  <si>
    <t>Total Paul/ Lois (Combined)</t>
  </si>
  <si>
    <t>ORIGINAL BUDGET FOR 2021</t>
  </si>
  <si>
    <t>3/15/2021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</si>
</sst>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19" x14ac:knownFonts="1">
    <font>
      <sz val="10"/>
      <color rgb="FF000000"/>
      <name val="Times New Roman"/>
      <charset val="204"/>
    </font>
    <font>
      <sz val="8"/>
      <color rgb="FF00000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/>
      <sz val="8"/>
      <name val="Times New Roman"/>
      <family val="1"/>
    </font>
    <font>
      <u/>
      <sz val="8"/>
      <name val="Arial Narrow"/>
      <family val="2"/>
    </font>
    <font>
      <b/>
      <u/>
      <sz val="8"/>
      <name val="Arial Narrow"/>
      <family val="2"/>
    </font>
    <font>
      <sz val="10"/>
      <color rgb="FF000000"/>
      <name val="Times New Roman"/>
      <family val="1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Arial"/>
      <family val="2"/>
    </font>
    <font>
      <b/>
      <u/>
      <sz val="10"/>
      <name val="Arial Narrow"/>
      <family val="2"/>
    </font>
    <font>
      <b/>
      <sz val="10"/>
      <name val="Arial Narrow"/>
      <family val="2"/>
    </font>
    <font>
      <b/>
      <sz val="10"/>
      <color rgb="FF000000"/>
      <name val="Arial Narrow"/>
      <family val="2"/>
    </font>
    <font>
      <i/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67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top" wrapText="1"/>
    </xf>
    <xf numFmtId="10" fontId="1" fillId="0" borderId="0" xfId="0" applyNumberFormat="1" applyFont="1" applyFill="1" applyBorder="1" applyAlignment="1">
      <alignment horizontal="right" vertical="center" shrinkToFit="1"/>
    </xf>
    <xf numFmtId="3" fontId="1" fillId="0" borderId="0" xfId="0" applyNumberFormat="1" applyFont="1" applyFill="1" applyBorder="1" applyAlignment="1">
      <alignment horizontal="right" vertical="center" indent="1" shrinkToFit="1"/>
    </xf>
    <xf numFmtId="37" fontId="1" fillId="0" borderId="0" xfId="0" applyNumberFormat="1" applyFont="1" applyFill="1" applyBorder="1" applyAlignment="1">
      <alignment horizontal="right" vertical="center" indent="1" shrinkToFit="1"/>
    </xf>
    <xf numFmtId="1" fontId="1" fillId="0" borderId="0" xfId="0" applyNumberFormat="1" applyFont="1" applyFill="1" applyBorder="1" applyAlignment="1">
      <alignment horizontal="right" vertical="center" indent="1" shrinkToFit="1"/>
    </xf>
    <xf numFmtId="0" fontId="2" fillId="0" borderId="0" xfId="0" applyFont="1" applyFill="1" applyBorder="1" applyAlignment="1">
      <alignment horizontal="left" vertical="top" wrapText="1"/>
    </xf>
    <xf numFmtId="10" fontId="1" fillId="0" borderId="0" xfId="0" applyNumberFormat="1" applyFont="1" applyFill="1" applyBorder="1" applyAlignment="1">
      <alignment horizontal="right" vertical="top" shrinkToFit="1"/>
    </xf>
    <xf numFmtId="3" fontId="1" fillId="0" borderId="0" xfId="0" applyNumberFormat="1" applyFont="1" applyFill="1" applyBorder="1" applyAlignment="1">
      <alignment horizontal="right" vertical="top" indent="1" shrinkToFit="1"/>
    </xf>
    <xf numFmtId="37" fontId="1" fillId="0" borderId="0" xfId="0" applyNumberFormat="1" applyFont="1" applyFill="1" applyBorder="1" applyAlignment="1">
      <alignment horizontal="right" vertical="top" indent="1" shrinkToFit="1"/>
    </xf>
    <xf numFmtId="1" fontId="1" fillId="0" borderId="0" xfId="0" applyNumberFormat="1" applyFont="1" applyFill="1" applyBorder="1" applyAlignment="1">
      <alignment horizontal="right" vertical="top" indent="1" shrinkToFi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37" fontId="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/>
    </xf>
    <xf numFmtId="165" fontId="14" fillId="0" borderId="2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right" vertical="top" wrapText="1" indent="1"/>
    </xf>
    <xf numFmtId="37" fontId="14" fillId="0" borderId="0" xfId="0" applyNumberFormat="1" applyFont="1" applyFill="1" applyBorder="1" applyAlignment="1">
      <alignment horizontal="right" vertical="center" wrapText="1" indent="1"/>
    </xf>
    <xf numFmtId="37" fontId="14" fillId="2" borderId="0" xfId="0" applyNumberFormat="1" applyFont="1" applyFill="1" applyBorder="1" applyAlignment="1">
      <alignment horizontal="right" vertical="center" wrapText="1" indent="1"/>
    </xf>
    <xf numFmtId="0" fontId="2" fillId="3" borderId="0" xfId="0" applyFont="1" applyFill="1" applyBorder="1" applyAlignment="1">
      <alignment horizontal="left" vertical="top" wrapText="1"/>
    </xf>
    <xf numFmtId="10" fontId="1" fillId="3" borderId="0" xfId="0" applyNumberFormat="1" applyFont="1" applyFill="1" applyBorder="1" applyAlignment="1">
      <alignment horizontal="right" vertical="top" shrinkToFit="1"/>
    </xf>
    <xf numFmtId="0" fontId="0" fillId="3" borderId="0" xfId="0" applyFill="1" applyBorder="1" applyAlignment="1">
      <alignment horizontal="right" vertical="top" wrapText="1" indent="1"/>
    </xf>
    <xf numFmtId="37" fontId="14" fillId="4" borderId="3" xfId="0" applyNumberFormat="1" applyFont="1" applyFill="1" applyBorder="1" applyAlignment="1">
      <alignment horizontal="right" vertical="center" wrapText="1" indent="1"/>
    </xf>
    <xf numFmtId="0" fontId="0" fillId="3" borderId="0" xfId="0" applyFill="1" applyBorder="1" applyAlignment="1">
      <alignment horizontal="left" vertical="top" wrapText="1"/>
    </xf>
    <xf numFmtId="10" fontId="1" fillId="3" borderId="0" xfId="0" applyNumberFormat="1" applyFont="1" applyFill="1" applyBorder="1" applyAlignment="1">
      <alignment horizontal="right" vertical="center" shrinkToFit="1"/>
    </xf>
    <xf numFmtId="1" fontId="1" fillId="3" borderId="0" xfId="0" applyNumberFormat="1" applyFont="1" applyFill="1" applyBorder="1" applyAlignment="1">
      <alignment horizontal="right" vertical="center" indent="1" shrinkToFit="1"/>
    </xf>
    <xf numFmtId="1" fontId="1" fillId="3" borderId="0" xfId="0" applyNumberFormat="1" applyFont="1" applyFill="1" applyBorder="1" applyAlignment="1">
      <alignment horizontal="right" vertical="top" indent="1" shrinkToFit="1"/>
    </xf>
    <xf numFmtId="0" fontId="3" fillId="3" borderId="0" xfId="0" applyFon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wrapText="1"/>
    </xf>
    <xf numFmtId="0" fontId="1" fillId="3" borderId="0" xfId="0" applyFont="1" applyFill="1" applyBorder="1" applyAlignment="1">
      <alignment horizontal="right" vertical="top" wrapText="1" indent="1"/>
    </xf>
    <xf numFmtId="164" fontId="1" fillId="0" borderId="0" xfId="0" applyNumberFormat="1" applyFont="1" applyFill="1" applyBorder="1" applyAlignment="1">
      <alignment horizontal="right" vertical="top" indent="1" shrinkToFit="1"/>
    </xf>
    <xf numFmtId="0" fontId="0" fillId="0" borderId="0" xfId="0" applyFill="1" applyAlignment="1">
      <alignment horizontal="left" vertical="top"/>
    </xf>
    <xf numFmtId="165" fontId="1" fillId="0" borderId="0" xfId="1" applyNumberFormat="1" applyFont="1" applyFill="1" applyBorder="1" applyAlignment="1">
      <alignment horizontal="right" vertical="top" indent="1" shrinkToFit="1"/>
    </xf>
    <xf numFmtId="165" fontId="1" fillId="0" borderId="0" xfId="0" applyNumberFormat="1" applyFont="1" applyFill="1" applyBorder="1" applyAlignment="1">
      <alignment horizontal="left" vertical="top"/>
    </xf>
    <xf numFmtId="165" fontId="1" fillId="0" borderId="1" xfId="1" applyNumberFormat="1" applyFont="1" applyFill="1" applyBorder="1" applyAlignment="1">
      <alignment horizontal="right" vertical="top" indent="1" shrinkToFit="1"/>
    </xf>
    <xf numFmtId="1" fontId="1" fillId="0" borderId="1" xfId="0" applyNumberFormat="1" applyFont="1" applyFill="1" applyBorder="1" applyAlignment="1">
      <alignment horizontal="right" vertical="top" indent="1" shrinkToFit="1"/>
    </xf>
    <xf numFmtId="165" fontId="1" fillId="0" borderId="1" xfId="0" applyNumberFormat="1" applyFont="1" applyFill="1" applyBorder="1" applyAlignment="1">
      <alignment horizontal="left" vertical="top"/>
    </xf>
    <xf numFmtId="165" fontId="17" fillId="0" borderId="0" xfId="0" applyNumberFormat="1" applyFont="1" applyFill="1" applyBorder="1" applyAlignment="1">
      <alignment horizontal="left" vertical="top"/>
    </xf>
    <xf numFmtId="0" fontId="16" fillId="0" borderId="0" xfId="0" applyFont="1" applyAlignment="1">
      <alignment horizontal="right" vertical="top" wrapText="1"/>
    </xf>
    <xf numFmtId="0" fontId="18" fillId="0" borderId="0" xfId="0" applyFont="1" applyAlignment="1">
      <alignment horizontal="left" vertical="top"/>
    </xf>
    <xf numFmtId="3" fontId="1" fillId="0" borderId="1" xfId="0" applyNumberFormat="1" applyFont="1" applyFill="1" applyBorder="1" applyAlignment="1">
      <alignment horizontal="right" vertical="center" indent="1" shrinkToFit="1"/>
    </xf>
    <xf numFmtId="37" fontId="1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horizontal="center" vertical="top" wrapText="1"/>
    </xf>
    <xf numFmtId="37" fontId="1" fillId="0" borderId="1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right" vertical="top" wrapText="1" indent="1"/>
    </xf>
    <xf numFmtId="37" fontId="1" fillId="0" borderId="1" xfId="0" applyNumberFormat="1" applyFont="1" applyFill="1" applyBorder="1" applyAlignment="1">
      <alignment horizontal="right" vertical="center" indent="1" shrinkToFit="1"/>
    </xf>
    <xf numFmtId="0" fontId="5" fillId="0" borderId="0" xfId="0" applyFont="1" applyFill="1" applyAlignment="1">
      <alignment horizontal="left" vertical="top" wrapText="1"/>
    </xf>
    <xf numFmtId="1" fontId="1" fillId="0" borderId="1" xfId="0" applyNumberFormat="1" applyFont="1" applyFill="1" applyBorder="1" applyAlignment="1">
      <alignment horizontal="right" vertical="center" indent="1" shrinkToFit="1"/>
    </xf>
    <xf numFmtId="0" fontId="5" fillId="0" borderId="0" xfId="0" applyFont="1" applyFill="1" applyBorder="1" applyAlignment="1">
      <alignment horizontal="left" vertical="top" wrapText="1"/>
    </xf>
    <xf numFmtId="37" fontId="1" fillId="0" borderId="3" xfId="0" applyNumberFormat="1" applyFont="1" applyFill="1" applyBorder="1" applyAlignment="1">
      <alignment horizontal="right" vertical="top" indent="1" shrinkToFit="1"/>
    </xf>
    <xf numFmtId="37" fontId="10" fillId="0" borderId="0" xfId="0" applyNumberFormat="1" applyFont="1" applyFill="1" applyBorder="1" applyAlignment="1">
      <alignment horizontal="center" vertical="top"/>
    </xf>
    <xf numFmtId="37" fontId="0" fillId="0" borderId="0" xfId="0" applyNumberForma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152613</xdr:colOff>
      <xdr:row>0</xdr:row>
      <xdr:rowOff>0</xdr:rowOff>
    </xdr:from>
    <xdr:to>
      <xdr:col>10</xdr:col>
      <xdr:colOff>225943</xdr:colOff>
      <xdr:row>0</xdr:row>
      <xdr:rowOff>0</xdr:rowOff>
    </xdr:to>
    <xdr:sp macro="" textlink="">
      <xdr:nvSpPr>
        <xdr:cNvPr id="2" name="Shap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0"/>
          <a:ext cx="8743315" cy="0"/>
        </a:xfrm>
        <a:custGeom>
          <a:avLst/>
          <a:gdLst/>
          <a:ahLst/>
          <a:cxnLst/>
          <a:rect l="0" t="0" r="0" b="0"/>
          <a:pathLst>
            <a:path w="8743315">
              <a:moveTo>
                <a:pt x="0" y="0"/>
              </a:moveTo>
              <a:lnTo>
                <a:pt x="8743187" y="0"/>
              </a:lnTo>
            </a:path>
          </a:pathLst>
        </a:custGeom>
        <a:ln w="12618">
          <a:solidFill>
            <a:srgbClr val="000000"/>
          </a:solidFill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tabSelected="1" zoomScale="130" zoomScaleNormal="130" workbookViewId="0">
      <pane ySplit="4" topLeftCell="A5" activePane="bottomLeft" state="frozen"/>
      <selection pane="bottomLeft" activeCell="K36" sqref="K36"/>
    </sheetView>
  </sheetViews>
  <sheetFormatPr defaultRowHeight="12.75" x14ac:dyDescent="0.2"/>
  <cols>
    <col min="1" max="1" width="30.83203125" customWidth="1"/>
    <col min="2" max="2" width="9.33203125" customWidth="1"/>
    <col min="3" max="5" width="14" customWidth="1"/>
    <col min="6" max="6" width="16.6640625" customWidth="1"/>
    <col min="7" max="7" width="14" customWidth="1"/>
    <col min="8" max="8" width="17.5" customWidth="1"/>
    <col min="9" max="9" width="15.6640625" customWidth="1"/>
    <col min="10" max="10" width="12.6640625" customWidth="1"/>
    <col min="11" max="11" width="40.1640625" customWidth="1"/>
  </cols>
  <sheetData>
    <row r="1" spans="1:11" s="16" customFormat="1" ht="21.75" customHeight="1" x14ac:dyDescent="0.2">
      <c r="A1" s="18" t="s">
        <v>35</v>
      </c>
      <c r="B1" s="15"/>
      <c r="C1" s="15"/>
      <c r="D1" s="15"/>
      <c r="E1" s="15"/>
      <c r="F1" s="15"/>
      <c r="G1" s="15"/>
      <c r="H1" s="15"/>
      <c r="I1" s="15"/>
      <c r="J1" s="24" t="s">
        <v>60</v>
      </c>
      <c r="K1" s="15"/>
    </row>
    <row r="2" spans="1:11" s="16" customFormat="1" ht="21.75" customHeight="1" x14ac:dyDescent="0.2">
      <c r="A2" s="19" t="s">
        <v>53</v>
      </c>
      <c r="B2" s="15"/>
      <c r="C2" s="15"/>
      <c r="D2" s="15"/>
      <c r="E2" s="15"/>
      <c r="F2" s="15"/>
      <c r="G2" s="15"/>
      <c r="H2" s="65"/>
      <c r="I2" s="15"/>
      <c r="J2" s="15"/>
      <c r="K2" s="15"/>
    </row>
    <row r="3" spans="1:11" s="16" customFormat="1" ht="21.75" customHeight="1" x14ac:dyDescent="0.2">
      <c r="A3" s="17" t="s">
        <v>59</v>
      </c>
      <c r="B3" s="15"/>
      <c r="C3" s="15"/>
      <c r="D3" s="15"/>
      <c r="E3" s="15"/>
      <c r="F3" s="15"/>
      <c r="G3" s="15"/>
      <c r="H3" s="65"/>
      <c r="I3" s="15"/>
      <c r="J3" s="15"/>
      <c r="K3" s="15"/>
    </row>
    <row r="4" spans="1:11" s="23" customFormat="1" ht="38.25" x14ac:dyDescent="0.2">
      <c r="A4" s="21"/>
      <c r="B4" s="21" t="s">
        <v>27</v>
      </c>
      <c r="C4" s="21" t="s">
        <v>28</v>
      </c>
      <c r="D4" s="21" t="s">
        <v>29</v>
      </c>
      <c r="E4" s="21" t="s">
        <v>30</v>
      </c>
      <c r="F4" s="21" t="s">
        <v>36</v>
      </c>
      <c r="G4" s="21" t="s">
        <v>31</v>
      </c>
      <c r="H4" s="21" t="s">
        <v>32</v>
      </c>
      <c r="I4" s="21" t="s">
        <v>33</v>
      </c>
      <c r="J4" s="21" t="s">
        <v>34</v>
      </c>
      <c r="K4" s="22"/>
    </row>
    <row r="5" spans="1:11" ht="24.75" customHeight="1" x14ac:dyDescent="0.2">
      <c r="A5" s="63" t="s">
        <v>57</v>
      </c>
      <c r="B5" s="2"/>
      <c r="C5" s="4"/>
      <c r="D5" s="4"/>
      <c r="E5" s="4"/>
      <c r="F5" s="4"/>
      <c r="G5" s="4"/>
      <c r="H5" s="4"/>
      <c r="I5" s="4"/>
      <c r="J5" s="13"/>
    </row>
    <row r="6" spans="1:11" ht="11.25" hidden="1" customHeight="1" x14ac:dyDescent="0.2">
      <c r="A6" s="6" t="s">
        <v>0</v>
      </c>
      <c r="B6" s="7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f>SUM(B6:G6)</f>
        <v>0</v>
      </c>
      <c r="I6" s="4">
        <v>0</v>
      </c>
      <c r="J6" s="13">
        <f t="shared" ref="J6:J9" si="0">SUM(H6:I6)</f>
        <v>0</v>
      </c>
    </row>
    <row r="7" spans="1:11" ht="11.25" customHeight="1" x14ac:dyDescent="0.2">
      <c r="A7" s="6" t="s">
        <v>55</v>
      </c>
      <c r="B7" s="7">
        <v>4.7199999999999999E-2</v>
      </c>
      <c r="C7" s="9">
        <v>64764</v>
      </c>
      <c r="D7" s="9">
        <v>9234</v>
      </c>
      <c r="E7" s="9">
        <v>6901</v>
      </c>
      <c r="F7" s="9">
        <v>-42805</v>
      </c>
      <c r="G7" s="9">
        <v>-1533</v>
      </c>
      <c r="H7" s="4">
        <f t="shared" ref="H7:H8" si="1">SUM(B7:G7)</f>
        <v>36561.047200000001</v>
      </c>
      <c r="I7" s="9">
        <v>0</v>
      </c>
      <c r="J7" s="13">
        <f t="shared" si="0"/>
        <v>36561.047200000001</v>
      </c>
    </row>
    <row r="8" spans="1:11" ht="11.25" hidden="1" customHeight="1" x14ac:dyDescent="0.2">
      <c r="A8" s="6" t="s">
        <v>1</v>
      </c>
      <c r="B8" s="7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4">
        <f t="shared" si="1"/>
        <v>0</v>
      </c>
      <c r="I8" s="9">
        <v>0</v>
      </c>
      <c r="J8" s="13">
        <f t="shared" si="0"/>
        <v>0</v>
      </c>
    </row>
    <row r="9" spans="1:11" ht="11.25" hidden="1" customHeight="1" x14ac:dyDescent="0.2">
      <c r="A9" s="6" t="s">
        <v>2</v>
      </c>
      <c r="B9" s="7">
        <v>0</v>
      </c>
      <c r="C9" s="60">
        <v>0</v>
      </c>
      <c r="D9" s="60">
        <v>0</v>
      </c>
      <c r="E9" s="60">
        <v>0</v>
      </c>
      <c r="F9" s="60">
        <v>0</v>
      </c>
      <c r="G9" s="60">
        <v>0</v>
      </c>
      <c r="H9" s="60">
        <f>SUM(B9:G9)</f>
        <v>0</v>
      </c>
      <c r="I9" s="60">
        <v>0</v>
      </c>
      <c r="J9" s="55">
        <f t="shared" si="0"/>
        <v>0</v>
      </c>
    </row>
    <row r="10" spans="1:11" ht="17.100000000000001" customHeight="1" x14ac:dyDescent="0.2">
      <c r="A10" s="11" t="s">
        <v>4</v>
      </c>
      <c r="B10" s="12"/>
      <c r="C10" s="64">
        <f>SUM(C5:C9)</f>
        <v>64764</v>
      </c>
      <c r="D10" s="64">
        <f t="shared" ref="D10:I10" si="2">SUM(D5:D9)</f>
        <v>9234</v>
      </c>
      <c r="E10" s="64">
        <f t="shared" si="2"/>
        <v>6901</v>
      </c>
      <c r="F10" s="64">
        <f t="shared" si="2"/>
        <v>-42805</v>
      </c>
      <c r="G10" s="64">
        <f t="shared" si="2"/>
        <v>-1533</v>
      </c>
      <c r="H10" s="64">
        <f t="shared" si="2"/>
        <v>36561.047200000001</v>
      </c>
      <c r="I10" s="64">
        <f t="shared" si="2"/>
        <v>0</v>
      </c>
      <c r="J10" s="64">
        <f>SUM(J5:J9)</f>
        <v>36561.047200000001</v>
      </c>
    </row>
    <row r="11" spans="1:11" ht="28.35" hidden="1" customHeight="1" x14ac:dyDescent="0.2">
      <c r="A11" s="1" t="s">
        <v>5</v>
      </c>
      <c r="B11" s="2">
        <v>0</v>
      </c>
      <c r="C11" s="3">
        <v>0</v>
      </c>
      <c r="D11" s="5">
        <v>0</v>
      </c>
      <c r="E11" s="5">
        <v>0</v>
      </c>
      <c r="F11" s="5">
        <v>0</v>
      </c>
      <c r="G11" s="5">
        <v>0</v>
      </c>
      <c r="H11" s="3">
        <f>SUM(B11:G11)</f>
        <v>0</v>
      </c>
      <c r="I11" s="4">
        <v>0</v>
      </c>
      <c r="J11" s="13">
        <f>SUM(H11:I11)</f>
        <v>0</v>
      </c>
    </row>
    <row r="12" spans="1:11" ht="11.25" hidden="1" customHeight="1" x14ac:dyDescent="0.2">
      <c r="A12" s="6" t="s">
        <v>6</v>
      </c>
      <c r="B12" s="7">
        <v>0</v>
      </c>
      <c r="C12" s="3">
        <v>0</v>
      </c>
      <c r="D12" s="5">
        <v>0</v>
      </c>
      <c r="E12" s="5">
        <v>0</v>
      </c>
      <c r="F12" s="5">
        <v>0</v>
      </c>
      <c r="G12" s="5">
        <v>0</v>
      </c>
      <c r="H12" s="3">
        <f t="shared" ref="H12:H14" si="3">SUM(B12:G12)</f>
        <v>0</v>
      </c>
      <c r="I12" s="4">
        <v>0</v>
      </c>
      <c r="J12" s="13">
        <f t="shared" ref="J12:J14" si="4">SUM(H12:I12)</f>
        <v>0</v>
      </c>
    </row>
    <row r="13" spans="1:11" ht="11.25" hidden="1" customHeight="1" x14ac:dyDescent="0.2">
      <c r="A13" s="6" t="s">
        <v>7</v>
      </c>
      <c r="B13" s="7">
        <v>0</v>
      </c>
      <c r="C13" s="3">
        <v>0</v>
      </c>
      <c r="D13" s="5">
        <v>0</v>
      </c>
      <c r="E13" s="5">
        <v>0</v>
      </c>
      <c r="F13" s="5">
        <v>0</v>
      </c>
      <c r="G13" s="5">
        <v>0</v>
      </c>
      <c r="H13" s="3">
        <f t="shared" si="3"/>
        <v>0</v>
      </c>
      <c r="I13" s="4">
        <v>0</v>
      </c>
      <c r="J13" s="13">
        <f t="shared" si="4"/>
        <v>0</v>
      </c>
    </row>
    <row r="14" spans="1:11" ht="11.25" hidden="1" customHeight="1" x14ac:dyDescent="0.2">
      <c r="A14" s="6" t="s">
        <v>8</v>
      </c>
      <c r="B14" s="7">
        <v>0</v>
      </c>
      <c r="C14" s="54">
        <v>0</v>
      </c>
      <c r="D14" s="62">
        <v>0</v>
      </c>
      <c r="E14" s="62">
        <v>0</v>
      </c>
      <c r="F14" s="62">
        <v>0</v>
      </c>
      <c r="G14" s="62">
        <v>0</v>
      </c>
      <c r="H14" s="54">
        <f t="shared" si="3"/>
        <v>0</v>
      </c>
      <c r="I14" s="60">
        <v>0</v>
      </c>
      <c r="J14" s="55">
        <f t="shared" si="4"/>
        <v>0</v>
      </c>
    </row>
    <row r="15" spans="1:11" ht="17.100000000000001" hidden="1" customHeight="1" x14ac:dyDescent="0.2">
      <c r="A15" s="11" t="s">
        <v>9</v>
      </c>
      <c r="B15" s="12"/>
      <c r="C15" s="8">
        <f>SUM(C11:C14)</f>
        <v>0</v>
      </c>
      <c r="D15" s="8">
        <f t="shared" ref="D15:J15" si="5">SUM(D11:D14)</f>
        <v>0</v>
      </c>
      <c r="E15" s="8">
        <f t="shared" si="5"/>
        <v>0</v>
      </c>
      <c r="F15" s="8">
        <f t="shared" si="5"/>
        <v>0</v>
      </c>
      <c r="G15" s="8">
        <f t="shared" si="5"/>
        <v>0</v>
      </c>
      <c r="H15" s="8">
        <f t="shared" si="5"/>
        <v>0</v>
      </c>
      <c r="I15" s="8">
        <f t="shared" si="5"/>
        <v>0</v>
      </c>
      <c r="J15" s="8">
        <f t="shared" si="5"/>
        <v>0</v>
      </c>
    </row>
    <row r="16" spans="1:11" ht="28.35" hidden="1" customHeight="1" x14ac:dyDescent="0.2">
      <c r="A16" s="1" t="s">
        <v>10</v>
      </c>
      <c r="B16" s="2">
        <v>0</v>
      </c>
      <c r="C16" s="3">
        <v>0</v>
      </c>
      <c r="D16" s="5">
        <v>0</v>
      </c>
      <c r="E16" s="5">
        <v>0</v>
      </c>
      <c r="F16" s="4">
        <v>0</v>
      </c>
      <c r="G16" s="5">
        <v>0</v>
      </c>
      <c r="H16" s="3">
        <f t="shared" ref="H16" si="6">SUM(B16:G16)</f>
        <v>0</v>
      </c>
      <c r="I16" s="5">
        <v>0</v>
      </c>
      <c r="J16" s="13">
        <f>SUM(H16:I16)</f>
        <v>0</v>
      </c>
    </row>
    <row r="17" spans="1:10" ht="11.25" hidden="1" customHeight="1" x14ac:dyDescent="0.2">
      <c r="A17" s="6" t="s">
        <v>11</v>
      </c>
      <c r="B17" s="7">
        <v>0</v>
      </c>
      <c r="C17" s="57">
        <v>0</v>
      </c>
      <c r="D17" s="57">
        <v>0</v>
      </c>
      <c r="E17" s="57">
        <v>0</v>
      </c>
      <c r="F17" s="57">
        <v>0</v>
      </c>
      <c r="G17" s="57">
        <v>0</v>
      </c>
      <c r="H17" s="57">
        <f>SUM(C17:G17)</f>
        <v>0</v>
      </c>
      <c r="I17" s="57">
        <v>0</v>
      </c>
      <c r="J17" s="57">
        <f>SUM(H17:I17)</f>
        <v>0</v>
      </c>
    </row>
    <row r="18" spans="1:10" ht="17.100000000000001" hidden="1" customHeight="1" x14ac:dyDescent="0.2">
      <c r="A18" s="11" t="s">
        <v>12</v>
      </c>
      <c r="B18" s="56"/>
      <c r="C18" s="13">
        <f>SUM(C16:C17)</f>
        <v>0</v>
      </c>
      <c r="D18" s="13">
        <f t="shared" ref="D18:J18" si="7">SUM(D16:D17)</f>
        <v>0</v>
      </c>
      <c r="E18" s="13">
        <f t="shared" si="7"/>
        <v>0</v>
      </c>
      <c r="F18" s="13">
        <f t="shared" si="7"/>
        <v>0</v>
      </c>
      <c r="G18" s="13">
        <f t="shared" si="7"/>
        <v>0</v>
      </c>
      <c r="H18" s="13">
        <f t="shared" si="7"/>
        <v>0</v>
      </c>
      <c r="I18" s="13">
        <f t="shared" si="7"/>
        <v>0</v>
      </c>
      <c r="J18" s="13">
        <f t="shared" si="7"/>
        <v>0</v>
      </c>
    </row>
    <row r="19" spans="1:10" ht="28.35" hidden="1" customHeight="1" x14ac:dyDescent="0.2">
      <c r="A19" s="1" t="s">
        <v>13</v>
      </c>
      <c r="B19" s="2">
        <v>0</v>
      </c>
      <c r="C19" s="4">
        <v>0</v>
      </c>
      <c r="D19" s="5">
        <v>0</v>
      </c>
      <c r="E19" s="5">
        <v>0</v>
      </c>
      <c r="F19" s="5">
        <v>0</v>
      </c>
      <c r="G19" s="5">
        <v>0</v>
      </c>
      <c r="H19" s="4">
        <f>SUM(B19:G19)</f>
        <v>0</v>
      </c>
      <c r="I19" s="5">
        <v>0</v>
      </c>
      <c r="J19" s="13">
        <f>SUM(H19:I19)</f>
        <v>0</v>
      </c>
    </row>
    <row r="20" spans="1:10" ht="11.25" hidden="1" customHeight="1" x14ac:dyDescent="0.2">
      <c r="A20" s="6" t="s">
        <v>14</v>
      </c>
      <c r="B20" s="7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f>SUM(B20:G20)</f>
        <v>0</v>
      </c>
      <c r="I20" s="4">
        <v>0</v>
      </c>
      <c r="J20" s="4">
        <f>SUM(H20:I20)</f>
        <v>0</v>
      </c>
    </row>
    <row r="21" spans="1:10" ht="11.25" hidden="1" customHeight="1" x14ac:dyDescent="0.2">
      <c r="A21" s="58" t="s">
        <v>52</v>
      </c>
      <c r="B21" s="7">
        <v>0</v>
      </c>
      <c r="C21" s="44">
        <f>-100000*B21</f>
        <v>0</v>
      </c>
      <c r="D21" s="10">
        <v>0</v>
      </c>
      <c r="E21" s="8">
        <v>0</v>
      </c>
      <c r="F21" s="10">
        <v>0</v>
      </c>
      <c r="G21" s="4">
        <f>-1000000*B21</f>
        <v>0</v>
      </c>
      <c r="H21" s="4">
        <f>SUM(C21:G21)</f>
        <v>0</v>
      </c>
      <c r="I21" s="9">
        <f>614537*B21</f>
        <v>0</v>
      </c>
      <c r="J21" s="13">
        <f>SUM(H21:I21)</f>
        <v>0</v>
      </c>
    </row>
    <row r="22" spans="1:10" ht="11.25" hidden="1" customHeight="1" x14ac:dyDescent="0.2">
      <c r="A22" s="6" t="s">
        <v>15</v>
      </c>
      <c r="B22" s="7">
        <v>0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60">
        <f>SUM(C22:G22)</f>
        <v>0</v>
      </c>
      <c r="I22" s="59">
        <v>0</v>
      </c>
      <c r="J22" s="55">
        <f>SUM(H22:I22)</f>
        <v>0</v>
      </c>
    </row>
    <row r="23" spans="1:10" ht="17.100000000000001" hidden="1" customHeight="1" x14ac:dyDescent="0.2">
      <c r="A23" s="11" t="s">
        <v>16</v>
      </c>
      <c r="B23" s="12"/>
      <c r="C23" s="9">
        <f>SUM(C19:C22)</f>
        <v>0</v>
      </c>
      <c r="D23" s="9">
        <f t="shared" ref="D23:E23" si="8">SUM(D19:D22)</f>
        <v>0</v>
      </c>
      <c r="E23" s="9">
        <f t="shared" si="8"/>
        <v>0</v>
      </c>
      <c r="F23" s="9">
        <f t="shared" ref="F23" si="9">SUM(F19:F22)</f>
        <v>0</v>
      </c>
      <c r="G23" s="9">
        <f t="shared" ref="G23" si="10">SUM(G19:G22)</f>
        <v>0</v>
      </c>
      <c r="H23" s="9">
        <f t="shared" ref="H23" si="11">SUM(H19:H22)</f>
        <v>0</v>
      </c>
      <c r="I23" s="9">
        <f t="shared" ref="I23" si="12">SUM(I19:I22)</f>
        <v>0</v>
      </c>
      <c r="J23" s="9">
        <f t="shared" ref="J23" si="13">SUM(J19:J22)</f>
        <v>0</v>
      </c>
    </row>
    <row r="24" spans="1:10" ht="28.35" hidden="1" customHeight="1" x14ac:dyDescent="0.2">
      <c r="A24" s="37" t="s">
        <v>17</v>
      </c>
      <c r="B24" s="38">
        <v>1</v>
      </c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</row>
    <row r="25" spans="1:10" ht="11.25" hidden="1" customHeight="1" x14ac:dyDescent="0.2">
      <c r="A25" s="33" t="s">
        <v>18</v>
      </c>
      <c r="B25" s="34">
        <v>0.28899999999999998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</row>
    <row r="26" spans="1:10" ht="11.25" hidden="1" customHeight="1" x14ac:dyDescent="0.2">
      <c r="A26" s="33" t="s">
        <v>19</v>
      </c>
      <c r="B26" s="34">
        <v>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</row>
    <row r="27" spans="1:10" ht="11.25" hidden="1" customHeight="1" x14ac:dyDescent="0.2">
      <c r="A27" s="33" t="s">
        <v>20</v>
      </c>
      <c r="B27" s="34">
        <v>0.57579999999999998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</row>
    <row r="28" spans="1:10" ht="11.25" hidden="1" customHeight="1" x14ac:dyDescent="0.2">
      <c r="A28" s="33" t="s">
        <v>21</v>
      </c>
      <c r="B28" s="34">
        <v>0.57579999999999998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</row>
    <row r="29" spans="1:10" ht="11.25" hidden="1" customHeight="1" x14ac:dyDescent="0.2">
      <c r="A29" s="33" t="s">
        <v>22</v>
      </c>
      <c r="B29" s="34">
        <v>1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</row>
    <row r="30" spans="1:10" ht="11.25" hidden="1" customHeight="1" x14ac:dyDescent="0.2">
      <c r="A30" s="33" t="s">
        <v>23</v>
      </c>
      <c r="B30" s="34">
        <v>1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</row>
    <row r="31" spans="1:10" ht="11.25" hidden="1" customHeight="1" x14ac:dyDescent="0.2">
      <c r="A31" s="33" t="s">
        <v>24</v>
      </c>
      <c r="B31" s="34">
        <v>0.75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</row>
    <row r="32" spans="1:10" ht="11.25" hidden="1" customHeight="1" x14ac:dyDescent="0.2">
      <c r="A32" s="33" t="s">
        <v>25</v>
      </c>
      <c r="B32" s="34">
        <v>0.01</v>
      </c>
      <c r="C32" s="35" t="s">
        <v>3</v>
      </c>
      <c r="D32" s="35" t="s">
        <v>3</v>
      </c>
      <c r="E32" s="35" t="s">
        <v>3</v>
      </c>
      <c r="F32" s="35" t="s">
        <v>3</v>
      </c>
      <c r="G32" s="35" t="s">
        <v>3</v>
      </c>
      <c r="H32" s="35" t="s">
        <v>3</v>
      </c>
      <c r="I32" s="35" t="s">
        <v>3</v>
      </c>
      <c r="J32" s="35" t="s">
        <v>3</v>
      </c>
    </row>
    <row r="33" spans="1:11" ht="11.25" hidden="1" customHeight="1" x14ac:dyDescent="0.2">
      <c r="A33" s="41" t="s">
        <v>26</v>
      </c>
      <c r="B33" s="42"/>
      <c r="C33" s="43" t="s">
        <v>48</v>
      </c>
      <c r="D33" s="43" t="s">
        <v>48</v>
      </c>
      <c r="E33" s="43" t="s">
        <v>48</v>
      </c>
      <c r="F33" s="43" t="s">
        <v>48</v>
      </c>
      <c r="G33" s="43" t="s">
        <v>48</v>
      </c>
      <c r="H33" s="43" t="s">
        <v>48</v>
      </c>
      <c r="I33" s="43" t="s">
        <v>48</v>
      </c>
      <c r="J33" s="43" t="s">
        <v>48</v>
      </c>
    </row>
    <row r="34" spans="1:11" ht="11.25" customHeight="1" x14ac:dyDescent="0.2">
      <c r="A34" s="30" t="s">
        <v>49</v>
      </c>
      <c r="B34" s="14"/>
      <c r="C34" s="32">
        <f>C10+C15+C18+C23</f>
        <v>64764</v>
      </c>
      <c r="D34" s="32">
        <f t="shared" ref="D34:E34" si="14">D10+D15+D18+D23</f>
        <v>9234</v>
      </c>
      <c r="E34" s="32">
        <f t="shared" si="14"/>
        <v>6901</v>
      </c>
      <c r="F34" s="32">
        <f t="shared" ref="F34:G34" si="15">F10+F15+F18+F23</f>
        <v>-42805</v>
      </c>
      <c r="G34" s="32">
        <f t="shared" si="15"/>
        <v>-1533</v>
      </c>
      <c r="H34" s="32">
        <f t="shared" ref="H34:J34" si="16">H10+H15+H18+H23</f>
        <v>36561.047200000001</v>
      </c>
      <c r="I34" s="32">
        <f t="shared" si="16"/>
        <v>0</v>
      </c>
      <c r="J34" s="32">
        <f t="shared" si="16"/>
        <v>36561.047200000001</v>
      </c>
      <c r="K34" s="31"/>
    </row>
    <row r="36" spans="1:11" x14ac:dyDescent="0.2">
      <c r="A36" s="25" t="s">
        <v>37</v>
      </c>
    </row>
    <row r="37" spans="1:11" hidden="1" x14ac:dyDescent="0.2">
      <c r="A37" s="61" t="s">
        <v>38</v>
      </c>
      <c r="B37" s="7">
        <v>0</v>
      </c>
      <c r="C37" s="4">
        <f>8546000*B37</f>
        <v>0</v>
      </c>
      <c r="D37" s="4">
        <f>-5262000*B37</f>
        <v>0</v>
      </c>
      <c r="E37" s="4">
        <f>-493000*B37</f>
        <v>0</v>
      </c>
      <c r="F37" s="4">
        <f>-1935000*B37</f>
        <v>0</v>
      </c>
      <c r="G37" s="4">
        <f>-584000*B37</f>
        <v>0</v>
      </c>
      <c r="H37" s="4">
        <f>SUM(B37:G37)</f>
        <v>0</v>
      </c>
      <c r="I37" s="4">
        <v>0</v>
      </c>
      <c r="J37" s="4">
        <f>SUM(H37:I37)</f>
        <v>0</v>
      </c>
    </row>
    <row r="38" spans="1:11" hidden="1" x14ac:dyDescent="0.2">
      <c r="A38" s="61" t="s">
        <v>39</v>
      </c>
      <c r="B38" s="7">
        <v>0</v>
      </c>
      <c r="C38" s="4">
        <f>1525635*B38</f>
        <v>0</v>
      </c>
      <c r="D38" s="4">
        <f>-1309747*B38+25000*B38</f>
        <v>0</v>
      </c>
      <c r="E38" s="4">
        <f>-5035*B38</f>
        <v>0</v>
      </c>
      <c r="F38" s="4">
        <v>0</v>
      </c>
      <c r="G38" s="4">
        <f>-75152*B38</f>
        <v>0</v>
      </c>
      <c r="H38" s="4">
        <f>SUM(B38:G38)</f>
        <v>0</v>
      </c>
      <c r="I38" s="4">
        <v>0</v>
      </c>
      <c r="J38" s="4">
        <f>SUM(H38:I38)</f>
        <v>0</v>
      </c>
    </row>
    <row r="39" spans="1:11" x14ac:dyDescent="0.2">
      <c r="A39" s="61" t="s">
        <v>54</v>
      </c>
      <c r="B39" s="7">
        <f>3.43%+3.36%</f>
        <v>6.7900000000000002E-2</v>
      </c>
      <c r="C39" s="4">
        <f>5950874*B39*2</f>
        <v>808128.68920000002</v>
      </c>
      <c r="D39" s="4">
        <f>-2842500*B39*2</f>
        <v>-386011.5</v>
      </c>
      <c r="E39" s="4">
        <f>-845100*B39*2</f>
        <v>-114764.58</v>
      </c>
      <c r="F39" s="4">
        <f>-699792*2*B39</f>
        <v>-95031.753599999996</v>
      </c>
      <c r="G39" s="4">
        <v>-2222</v>
      </c>
      <c r="H39" s="4">
        <f>SUM(C39:G39)</f>
        <v>210098.85560000001</v>
      </c>
      <c r="I39" s="4">
        <f>-(48000/0.0303)*B39</f>
        <v>-107564.35643564357</v>
      </c>
      <c r="J39" s="4">
        <v>102535</v>
      </c>
      <c r="K39" s="66"/>
    </row>
    <row r="40" spans="1:11" x14ac:dyDescent="0.2">
      <c r="A40" s="61" t="s">
        <v>56</v>
      </c>
      <c r="B40" s="7">
        <f>1.07%+1.14%</f>
        <v>2.2100000000000002E-2</v>
      </c>
      <c r="C40" s="4">
        <f>3959806*B40*2</f>
        <v>175023.42520000003</v>
      </c>
      <c r="D40" s="4">
        <f>-1793502*B40*2</f>
        <v>-79272.788400000005</v>
      </c>
      <c r="E40" s="4">
        <f>355828*B40*2</f>
        <v>15727.597600000001</v>
      </c>
      <c r="F40" s="4">
        <f>-699792*2*B40</f>
        <v>-30930.806400000001</v>
      </c>
      <c r="G40" s="4">
        <f>-75210*2*B40</f>
        <v>-3324.2820000000002</v>
      </c>
      <c r="H40" s="4">
        <f>SUM(C40:G40)</f>
        <v>77223.146000000008</v>
      </c>
      <c r="I40" s="4">
        <f>-1950216*2*B40</f>
        <v>-86199.547200000001</v>
      </c>
      <c r="J40" s="4">
        <f>SUM(H40:I40)</f>
        <v>-8976.401199999993</v>
      </c>
    </row>
    <row r="41" spans="1:11" hidden="1" x14ac:dyDescent="0.2">
      <c r="A41" s="61" t="s">
        <v>50</v>
      </c>
      <c r="B41" s="7">
        <v>0</v>
      </c>
      <c r="C41" s="4">
        <f>1430000*B41</f>
        <v>0</v>
      </c>
      <c r="D41" s="4">
        <f>(1717000-944000)*B41</f>
        <v>0</v>
      </c>
      <c r="E41" s="4">
        <f>(682000+180000)*B41</f>
        <v>0</v>
      </c>
      <c r="F41" s="4">
        <f>-2074000*B41</f>
        <v>0</v>
      </c>
      <c r="G41" s="4">
        <v>0</v>
      </c>
      <c r="H41" s="4">
        <f>SUM(C41:G41)</f>
        <v>0</v>
      </c>
      <c r="I41" s="4">
        <v>0</v>
      </c>
      <c r="J41" s="4">
        <f>SUM(H41:I41)</f>
        <v>0</v>
      </c>
    </row>
    <row r="42" spans="1:11" hidden="1" x14ac:dyDescent="0.2">
      <c r="A42" s="61" t="s">
        <v>40</v>
      </c>
      <c r="B42" s="7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</row>
    <row r="43" spans="1:11" hidden="1" x14ac:dyDescent="0.2">
      <c r="A43" s="61" t="s">
        <v>41</v>
      </c>
      <c r="B43" s="7">
        <v>0</v>
      </c>
      <c r="C43" s="4">
        <f>844370*B43</f>
        <v>0</v>
      </c>
      <c r="D43" s="4">
        <f>-(585265+364324)*B43</f>
        <v>0</v>
      </c>
      <c r="E43" s="4">
        <f>(353908-259102)*B43</f>
        <v>0</v>
      </c>
      <c r="F43" s="4">
        <v>0</v>
      </c>
      <c r="G43" s="4">
        <v>0</v>
      </c>
      <c r="H43" s="4">
        <f>SUM(C43:G43)</f>
        <v>0</v>
      </c>
      <c r="I43" s="4">
        <f>-7592*B43</f>
        <v>0</v>
      </c>
      <c r="J43" s="4">
        <f>SUM(H43:I43)</f>
        <v>0</v>
      </c>
    </row>
    <row r="44" spans="1:11" x14ac:dyDescent="0.2">
      <c r="A44" s="30" t="s">
        <v>47</v>
      </c>
      <c r="B44" s="7"/>
      <c r="C44" s="36">
        <f>SUM(C34:C43)</f>
        <v>1047916.1144000001</v>
      </c>
      <c r="D44" s="36">
        <f t="shared" ref="D44:I44" si="17">SUM(D34:D43)</f>
        <v>-456050.28840000002</v>
      </c>
      <c r="E44" s="36">
        <f t="shared" si="17"/>
        <v>-92135.982400000008</v>
      </c>
      <c r="F44" s="36">
        <f t="shared" si="17"/>
        <v>-168767.56</v>
      </c>
      <c r="G44" s="36">
        <f t="shared" si="17"/>
        <v>-7079.2820000000002</v>
      </c>
      <c r="H44" s="36">
        <f t="shared" si="17"/>
        <v>323883.04879999999</v>
      </c>
      <c r="I44" s="36">
        <f t="shared" si="17"/>
        <v>-193763.90363564357</v>
      </c>
      <c r="J44" s="36">
        <f>SUM(J34:J43)</f>
        <v>130119.64600000001</v>
      </c>
    </row>
    <row r="45" spans="1:11" x14ac:dyDescent="0.2">
      <c r="A45" s="26"/>
      <c r="B45" s="7"/>
    </row>
    <row r="46" spans="1:11" x14ac:dyDescent="0.2">
      <c r="A46" s="27" t="s">
        <v>42</v>
      </c>
      <c r="B46" s="7"/>
    </row>
    <row r="47" spans="1:11" x14ac:dyDescent="0.2">
      <c r="A47" s="28" t="s">
        <v>43</v>
      </c>
      <c r="B47" s="7">
        <v>1</v>
      </c>
      <c r="C47" s="46">
        <v>575000</v>
      </c>
      <c r="D47" s="10">
        <v>0</v>
      </c>
      <c r="E47" s="10">
        <v>0</v>
      </c>
      <c r="F47" s="10">
        <v>0</v>
      </c>
      <c r="G47" s="10">
        <v>0</v>
      </c>
      <c r="H47" s="46">
        <f>SUM(C47:G47)</f>
        <v>575000</v>
      </c>
      <c r="I47" s="10">
        <v>0</v>
      </c>
      <c r="J47" s="47">
        <f>SUM(H47:I47)</f>
        <v>575000</v>
      </c>
    </row>
    <row r="48" spans="1:11" x14ac:dyDescent="0.2">
      <c r="A48" s="28" t="s">
        <v>44</v>
      </c>
      <c r="B48" s="7">
        <v>1</v>
      </c>
      <c r="C48" s="46">
        <v>0</v>
      </c>
      <c r="D48" s="10">
        <v>0</v>
      </c>
      <c r="E48" s="10">
        <v>0</v>
      </c>
      <c r="F48" s="10">
        <v>0</v>
      </c>
      <c r="G48" s="10">
        <v>0</v>
      </c>
      <c r="H48" s="46">
        <f t="shared" ref="H48:H50" si="18">SUM(C48:G48)</f>
        <v>0</v>
      </c>
      <c r="I48" s="10">
        <v>0</v>
      </c>
      <c r="J48" s="47">
        <f t="shared" ref="J48:J50" si="19">SUM(H48:I48)</f>
        <v>0</v>
      </c>
    </row>
    <row r="49" spans="1:10" x14ac:dyDescent="0.2">
      <c r="A49" s="28" t="s">
        <v>45</v>
      </c>
      <c r="B49" s="7">
        <v>1</v>
      </c>
      <c r="C49" s="46">
        <v>0</v>
      </c>
      <c r="D49" s="10">
        <v>0</v>
      </c>
      <c r="E49" s="10">
        <v>0</v>
      </c>
      <c r="F49" s="10">
        <v>0</v>
      </c>
      <c r="G49" s="10">
        <v>0</v>
      </c>
      <c r="H49" s="46">
        <f t="shared" si="18"/>
        <v>0</v>
      </c>
      <c r="I49" s="10">
        <v>0</v>
      </c>
      <c r="J49" s="47">
        <f t="shared" si="19"/>
        <v>0</v>
      </c>
    </row>
    <row r="50" spans="1:10" x14ac:dyDescent="0.2">
      <c r="A50" s="28" t="s">
        <v>46</v>
      </c>
      <c r="B50" s="7">
        <v>1</v>
      </c>
      <c r="C50" s="48">
        <v>0</v>
      </c>
      <c r="D50" s="49">
        <v>0</v>
      </c>
      <c r="E50" s="49">
        <v>0</v>
      </c>
      <c r="F50" s="49">
        <v>0</v>
      </c>
      <c r="G50" s="48"/>
      <c r="H50" s="48">
        <f t="shared" si="18"/>
        <v>0</v>
      </c>
      <c r="I50" s="49">
        <v>0</v>
      </c>
      <c r="J50" s="50">
        <f t="shared" si="19"/>
        <v>0</v>
      </c>
    </row>
    <row r="51" spans="1:10" x14ac:dyDescent="0.2">
      <c r="A51" s="30" t="s">
        <v>51</v>
      </c>
      <c r="C51" s="51">
        <f>SUM(C47:C50)</f>
        <v>575000</v>
      </c>
      <c r="D51" s="51">
        <f t="shared" ref="D51:J51" si="20">SUM(D47:D50)</f>
        <v>0</v>
      </c>
      <c r="E51" s="51">
        <f t="shared" si="20"/>
        <v>0</v>
      </c>
      <c r="F51" s="51">
        <f t="shared" si="20"/>
        <v>0</v>
      </c>
      <c r="G51" s="51">
        <f t="shared" si="20"/>
        <v>0</v>
      </c>
      <c r="H51" s="51">
        <f t="shared" si="20"/>
        <v>575000</v>
      </c>
      <c r="I51" s="51">
        <f t="shared" si="20"/>
        <v>0</v>
      </c>
      <c r="J51" s="51">
        <f t="shared" si="20"/>
        <v>575000</v>
      </c>
    </row>
    <row r="52" spans="1:10" x14ac:dyDescent="0.2">
      <c r="A52" s="45"/>
      <c r="C52" s="20"/>
      <c r="D52" s="20"/>
      <c r="E52" s="20"/>
      <c r="F52" s="20"/>
      <c r="G52" s="20"/>
      <c r="H52" s="20"/>
      <c r="I52" s="20"/>
      <c r="J52" s="20"/>
    </row>
    <row r="53" spans="1:10" ht="13.5" thickBot="1" x14ac:dyDescent="0.25">
      <c r="A53" s="52" t="s">
        <v>58</v>
      </c>
      <c r="B53" s="20"/>
      <c r="C53" s="29">
        <f>C44+C51</f>
        <v>1622916.1144000001</v>
      </c>
      <c r="D53" s="29">
        <f t="shared" ref="D53:J53" si="21">D44+D51</f>
        <v>-456050.28840000002</v>
      </c>
      <c r="E53" s="29">
        <f t="shared" si="21"/>
        <v>-92135.982400000008</v>
      </c>
      <c r="F53" s="29">
        <f t="shared" si="21"/>
        <v>-168767.56</v>
      </c>
      <c r="G53" s="29">
        <f t="shared" si="21"/>
        <v>-7079.2820000000002</v>
      </c>
      <c r="H53" s="29">
        <f t="shared" si="21"/>
        <v>898883.04879999999</v>
      </c>
      <c r="I53" s="29">
        <f t="shared" si="21"/>
        <v>-193763.90363564357</v>
      </c>
      <c r="J53" s="29">
        <f t="shared" si="21"/>
        <v>705119.64599999995</v>
      </c>
    </row>
    <row r="54" spans="1:10" ht="13.5" thickTop="1" x14ac:dyDescent="0.2">
      <c r="A54" s="26"/>
    </row>
    <row r="55" spans="1:10" x14ac:dyDescent="0.2">
      <c r="A55" s="53"/>
    </row>
  </sheetData>
  <pageMargins left="0.7" right="0.7" top="0.75" bottom="0.75" header="0.3" footer="0.3"/>
  <pageSetup scale="69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98D79925CDA54495476379DC30FCE3" ma:contentTypeVersion="13" ma:contentTypeDescription="Create a new document." ma:contentTypeScope="" ma:versionID="f6b98538803b9d879fcabd92aeda2c51">
  <xsd:schema xmlns:xsd="http://www.w3.org/2001/XMLSchema" xmlns:xs="http://www.w3.org/2001/XMLSchema" xmlns:p="http://schemas.microsoft.com/office/2006/metadata/properties" xmlns:ns3="623dd872-6b6b-4689-9f2c-60c8e576bad1" xmlns:ns4="97b77d3a-74e5-4122-88e3-2d99ccc8a123" targetNamespace="http://schemas.microsoft.com/office/2006/metadata/properties" ma:root="true" ma:fieldsID="db368cfa406cfd426fdac93a74c3bd6b" ns3:_="" ns4:_="">
    <xsd:import namespace="623dd872-6b6b-4689-9f2c-60c8e576bad1"/>
    <xsd:import namespace="97b77d3a-74e5-4122-88e3-2d99ccc8a1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3dd872-6b6b-4689-9f2c-60c8e576ba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b77d3a-74e5-4122-88e3-2d99ccc8a1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68B5137-2BCA-41CD-A96A-66ACE45460BE}">
  <ds:schemaRefs>
    <ds:schemaRef ds:uri="http://purl.org/dc/terms/"/>
    <ds:schemaRef ds:uri="http://schemas.openxmlformats.org/package/2006/metadata/core-properties"/>
    <ds:schemaRef ds:uri="623dd872-6b6b-4689-9f2c-60c8e576bad1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97b77d3a-74e5-4122-88e3-2d99ccc8a123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91643E-39F8-4AA9-998C-6893EA79F9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DD99B69-6B79-47EC-912A-46DC1C7F2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3dd872-6b6b-4689-9f2c-60c8e576bad1"/>
    <ds:schemaRef ds:uri="97b77d3a-74e5-4122-88e3-2d99ccc8a1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</vt:lpstr>
      <vt:lpstr>'Table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Cash Flow - Budget</dc:title>
  <dc:creator>mcleg</dc:creator>
  <cp:lastModifiedBy>Bill Cielo</cp:lastModifiedBy>
  <cp:lastPrinted>2020-07-31T13:26:26Z</cp:lastPrinted>
  <dcterms:created xsi:type="dcterms:W3CDTF">2020-07-31T11:14:23Z</dcterms:created>
  <dcterms:modified xsi:type="dcterms:W3CDTF">2021-03-15T17:30:35Z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0x010100EC98D79925CDA54495476379DC30FCE3</vt:lpwstr>
  </property>
</Properties>
</file>