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kenbrooks-my.sharepoint.com/personal/bcielo_copaken-brooks_com/Documents/Family Reports/"/>
    </mc:Choice>
  </mc:AlternateContent>
  <xr:revisionPtr revIDLastSave="231" documentId="8_{A9705480-EA06-461A-8A91-158A487FFD00}" xr6:coauthVersionLast="46" xr6:coauthVersionMax="46" xr10:uidLastSave="{A49390D2-74E1-4354-B608-D63928AFD22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1'!$A$1:$J$51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1" l="1"/>
  <c r="J46" i="1" s="1"/>
  <c r="G48" i="1"/>
  <c r="E17" i="1" l="1"/>
  <c r="F17" i="1"/>
  <c r="I17" i="1"/>
  <c r="C9" i="1"/>
  <c r="G15" i="1"/>
  <c r="C15" i="1"/>
  <c r="H15" i="1" s="1"/>
  <c r="J15" i="1" s="1"/>
  <c r="H7" i="1" l="1"/>
  <c r="G14" i="1" l="1"/>
  <c r="D14" i="1"/>
  <c r="C14" i="1"/>
  <c r="E38" i="1" l="1"/>
  <c r="D38" i="1"/>
  <c r="C38" i="1"/>
  <c r="H38" i="1" l="1"/>
  <c r="J38" i="1" s="1"/>
  <c r="D21" i="1"/>
  <c r="F21" i="1"/>
  <c r="I21" i="1"/>
  <c r="J19" i="1"/>
  <c r="H19" i="1"/>
  <c r="H18" i="1"/>
  <c r="J18" i="1" s="1"/>
  <c r="G16" i="1" l="1"/>
  <c r="G17" i="1" s="1"/>
  <c r="D16" i="1"/>
  <c r="D17" i="1" s="1"/>
  <c r="C16" i="1"/>
  <c r="C17" i="1" s="1"/>
  <c r="H16" i="1" l="1"/>
  <c r="J16" i="1" s="1"/>
  <c r="H14" i="1"/>
  <c r="J14" i="1" l="1"/>
  <c r="J17" i="1" s="1"/>
  <c r="H17" i="1"/>
  <c r="I13" i="1"/>
  <c r="G13" i="1"/>
  <c r="F13" i="1"/>
  <c r="E13" i="1"/>
  <c r="D13" i="1"/>
  <c r="C13" i="1"/>
  <c r="H12" i="1"/>
  <c r="J12" i="1" s="1"/>
  <c r="H11" i="1"/>
  <c r="J11" i="1" s="1"/>
  <c r="H10" i="1"/>
  <c r="J10" i="1" s="1"/>
  <c r="H8" i="1"/>
  <c r="J8" i="1" s="1"/>
  <c r="J7" i="1"/>
  <c r="H6" i="1"/>
  <c r="J6" i="1" s="1"/>
  <c r="H5" i="1"/>
  <c r="J5" i="1" s="1"/>
  <c r="I9" i="1"/>
  <c r="D9" i="1"/>
  <c r="E9" i="1"/>
  <c r="F9" i="1"/>
  <c r="G9" i="1"/>
  <c r="J13" i="1" l="1"/>
  <c r="H13" i="1"/>
  <c r="J9" i="1"/>
  <c r="H9" i="1"/>
  <c r="F32" i="1"/>
  <c r="D32" i="1"/>
  <c r="B20" i="1"/>
  <c r="D49" i="1"/>
  <c r="E49" i="1"/>
  <c r="F49" i="1"/>
  <c r="G49" i="1"/>
  <c r="I49" i="1"/>
  <c r="C49" i="1"/>
  <c r="G20" i="1" l="1"/>
  <c r="G21" i="1" s="1"/>
  <c r="G32" i="1" s="1"/>
  <c r="E20" i="1"/>
  <c r="E21" i="1" s="1"/>
  <c r="E32" i="1" s="1"/>
  <c r="C20" i="1"/>
  <c r="C21" i="1" s="1"/>
  <c r="C32" i="1" s="1"/>
  <c r="I32" i="1"/>
  <c r="C41" i="1" l="1"/>
  <c r="C51" i="1" s="1"/>
  <c r="H20" i="1"/>
  <c r="H21" i="1" s="1"/>
  <c r="J20" i="1" l="1"/>
  <c r="H32" i="1"/>
  <c r="B37" i="1"/>
  <c r="J21" i="1" l="1"/>
  <c r="J32" i="1" s="1"/>
  <c r="J41" i="1" s="1"/>
  <c r="D41" i="1"/>
  <c r="D51" i="1" s="1"/>
  <c r="E41" i="1"/>
  <c r="E51" i="1" s="1"/>
  <c r="F41" i="1"/>
  <c r="F51" i="1" s="1"/>
  <c r="G41" i="1"/>
  <c r="G51" i="1" s="1"/>
  <c r="H41" i="1"/>
  <c r="I41" i="1"/>
  <c r="I51" i="1" s="1"/>
  <c r="H45" i="1"/>
  <c r="J45" i="1" s="1"/>
  <c r="H47" i="1"/>
  <c r="J47" i="1" s="1"/>
  <c r="H48" i="1"/>
  <c r="J48" i="1" s="1"/>
  <c r="H44" i="1"/>
  <c r="J44" i="1" l="1"/>
  <c r="J49" i="1" s="1"/>
  <c r="J51" i="1" s="1"/>
  <c r="H49" i="1"/>
  <c r="H51" i="1" s="1"/>
</calcChain>
</file>

<file path=xl/sharedStrings.xml><?xml version="1.0" encoding="utf-8"?>
<sst xmlns="http://schemas.openxmlformats.org/spreadsheetml/2006/main" count="79" uniqueCount="62">
  <si>
    <t>NET CASH GENERATED FOR REAL ESTATE AND OTHER INVESTMENTS</t>
  </si>
  <si>
    <t>CF PARTNERS LLC</t>
  </si>
  <si>
    <t>% Owned</t>
  </si>
  <si>
    <t>NOI</t>
  </si>
  <si>
    <t>Debt Service</t>
  </si>
  <si>
    <t>Other Operating Adj</t>
  </si>
  <si>
    <t>Leasing Costs         (TI &amp; Comm)</t>
  </si>
  <si>
    <t>Other Capital</t>
  </si>
  <si>
    <t>CASH FLOW</t>
  </si>
  <si>
    <t>CONT (DIST)</t>
  </si>
  <si>
    <t>NET</t>
  </si>
  <si>
    <r>
      <rPr>
        <b/>
        <sz val="8"/>
        <rFont val="Arial Narrow"/>
        <family val="2"/>
      </rPr>
      <t xml:space="preserve">OFFICE
</t>
    </r>
    <r>
      <rPr>
        <sz val="8"/>
        <rFont val="Arial Narrow"/>
        <family val="2"/>
      </rPr>
      <t>CB-GBTS Capital Partners LLC</t>
    </r>
  </si>
  <si>
    <r>
      <rPr>
        <sz val="8"/>
        <rFont val="Arial Narrow"/>
        <family val="2"/>
      </rPr>
      <t>1816 Walnut, LLC</t>
    </r>
  </si>
  <si>
    <r>
      <rPr>
        <sz val="8"/>
        <rFont val="Arial Narrow"/>
        <family val="2"/>
      </rPr>
      <t>CDDH, LLC</t>
    </r>
  </si>
  <si>
    <r>
      <rPr>
        <sz val="8"/>
        <rFont val="Arial Narrow"/>
        <family val="2"/>
      </rPr>
      <t>Corrigan Station LLC</t>
    </r>
  </si>
  <si>
    <r>
      <rPr>
        <u/>
        <sz val="8"/>
        <rFont val="Times New Roman"/>
        <family val="1"/>
      </rPr>
      <t>                     </t>
    </r>
    <r>
      <rPr>
        <u/>
        <sz val="8"/>
        <rFont val="Arial Narrow"/>
        <family val="2"/>
      </rPr>
      <t>0</t>
    </r>
  </si>
  <si>
    <r>
      <rPr>
        <b/>
        <sz val="8"/>
        <rFont val="Arial Narrow"/>
        <family val="2"/>
      </rPr>
      <t>TOTAL  OFFICE</t>
    </r>
  </si>
  <si>
    <r>
      <rPr>
        <b/>
        <sz val="8"/>
        <rFont val="Arial Narrow"/>
        <family val="2"/>
      </rPr>
      <t xml:space="preserve">RETAIL
</t>
    </r>
    <r>
      <rPr>
        <sz val="8"/>
        <rFont val="Arial Narrow"/>
        <family val="2"/>
      </rPr>
      <t>95Q Corner Properties, LLC</t>
    </r>
  </si>
  <si>
    <r>
      <rPr>
        <sz val="8"/>
        <rFont val="Arial Narrow"/>
        <family val="2"/>
      </rPr>
      <t>HB Building, L.L.C.</t>
    </r>
  </si>
  <si>
    <r>
      <rPr>
        <sz val="8"/>
        <rFont val="Arial Narrow"/>
        <family val="2"/>
      </rPr>
      <t>BP Market Square, LLC</t>
    </r>
  </si>
  <si>
    <r>
      <rPr>
        <b/>
        <sz val="8"/>
        <rFont val="Arial Narrow"/>
        <family val="2"/>
      </rPr>
      <t>TOTAL  RETAIL</t>
    </r>
  </si>
  <si>
    <r>
      <rPr>
        <b/>
        <sz val="8"/>
        <rFont val="Arial Narrow"/>
        <family val="2"/>
      </rPr>
      <t xml:space="preserve">DEVELOPMENT
</t>
    </r>
    <r>
      <rPr>
        <sz val="8"/>
        <rFont val="Arial Narrow"/>
        <family val="2"/>
      </rPr>
      <t>MGV LLC, Bldg #2 South</t>
    </r>
  </si>
  <si>
    <r>
      <rPr>
        <b/>
        <sz val="8"/>
        <rFont val="Arial Narrow"/>
        <family val="2"/>
      </rPr>
      <t>TOTAL  DEVELOPMENT</t>
    </r>
  </si>
  <si>
    <r>
      <rPr>
        <b/>
        <sz val="8"/>
        <rFont val="Arial Narrow"/>
        <family val="2"/>
      </rPr>
      <t xml:space="preserve">VACANT GROUND
</t>
    </r>
    <r>
      <rPr>
        <sz val="8"/>
        <rFont val="Arial Narrow"/>
        <family val="2"/>
      </rPr>
      <t>112th &amp; Glenwood, LLC</t>
    </r>
  </si>
  <si>
    <r>
      <rPr>
        <sz val="8"/>
        <rFont val="Arial Narrow"/>
        <family val="2"/>
      </rPr>
      <t>112th &amp; Lamar, LLC</t>
    </r>
  </si>
  <si>
    <t>CB 1211 McGee,LLC</t>
  </si>
  <si>
    <r>
      <rPr>
        <b/>
        <sz val="8"/>
        <rFont val="Arial Narrow"/>
        <family val="2"/>
      </rPr>
      <t>TOTAL  VACANT GROUND</t>
    </r>
  </si>
  <si>
    <r>
      <rPr>
        <b/>
        <sz val="8"/>
        <rFont val="Arial Narrow"/>
        <family val="2"/>
      </rPr>
      <t xml:space="preserve">INVESTMENT
</t>
    </r>
    <r>
      <rPr>
        <sz val="8"/>
        <rFont val="Arial Narrow"/>
        <family val="2"/>
      </rPr>
      <t>Copaken District Cap Partners</t>
    </r>
  </si>
  <si>
    <r>
      <rPr>
        <sz val="8"/>
        <rFont val="Arial Narrow"/>
        <family val="2"/>
      </rPr>
      <t>BP Residual Properties</t>
    </r>
  </si>
  <si>
    <r>
      <rPr>
        <sz val="8"/>
        <rFont val="Arial Narrow"/>
        <family val="2"/>
      </rPr>
      <t>CF Partners, LLC</t>
    </r>
  </si>
  <si>
    <r>
      <rPr>
        <sz val="8"/>
        <rFont val="Arial Narrow"/>
        <family val="2"/>
      </rPr>
      <t>CF 18 Walnut, LLC</t>
    </r>
  </si>
  <si>
    <r>
      <rPr>
        <sz val="8"/>
        <rFont val="Arial Narrow"/>
        <family val="2"/>
      </rPr>
      <t>CF 1816 Walnut, LLC</t>
    </r>
  </si>
  <si>
    <r>
      <rPr>
        <sz val="8"/>
        <rFont val="Arial Narrow"/>
        <family val="2"/>
      </rPr>
      <t>CF Ventures, LLC</t>
    </r>
  </si>
  <si>
    <r>
      <rPr>
        <sz val="8"/>
        <rFont val="Arial Narrow"/>
        <family val="2"/>
      </rPr>
      <t>CF Real Estate Holdings LLC</t>
    </r>
  </si>
  <si>
    <r>
      <rPr>
        <sz val="8"/>
        <rFont val="Arial Narrow"/>
        <family val="2"/>
      </rPr>
      <t>CB MGV, LLC</t>
    </r>
  </si>
  <si>
    <r>
      <rPr>
        <sz val="8"/>
        <rFont val="Arial Narrow"/>
        <family val="2"/>
      </rPr>
      <t>TC Corrigan LLC</t>
    </r>
  </si>
  <si>
    <r>
      <rPr>
        <b/>
        <sz val="8"/>
        <rFont val="Arial Narrow"/>
        <family val="2"/>
      </rPr>
      <t>TOTAL  INVESTMENT</t>
    </r>
  </si>
  <si>
    <r>
      <rPr>
        <u/>
        <sz val="8"/>
        <rFont val="Arial Narrow"/>
        <family val="2"/>
      </rPr>
      <t>                     0</t>
    </r>
  </si>
  <si>
    <t>SUBTOTAL REAL ESTATE</t>
  </si>
  <si>
    <t>Third Party Properties</t>
  </si>
  <si>
    <t>Plaza Colonnade</t>
  </si>
  <si>
    <t>ARTerra</t>
  </si>
  <si>
    <t>KDDH (Square Deal/CDDH)</t>
  </si>
  <si>
    <t>The District (Copaken Dist Cap Ptrs)</t>
  </si>
  <si>
    <t>CBDI</t>
  </si>
  <si>
    <t>Frontier</t>
  </si>
  <si>
    <t>TOTAL REAL ESTATE</t>
  </si>
  <si>
    <t>Prairie Capital</t>
  </si>
  <si>
    <t xml:space="preserve">Dividends &amp; Interest </t>
  </si>
  <si>
    <t xml:space="preserve">PE Distributions </t>
  </si>
  <si>
    <t>Maturities</t>
  </si>
  <si>
    <t>Reinvested DIV/Int</t>
  </si>
  <si>
    <t>SUBTOTAL PRAIRIE</t>
  </si>
  <si>
    <t>Total CF Partners</t>
  </si>
  <si>
    <t>Other Considerations: CF Ventures, Power Tower, Patient Discovery Solutions</t>
  </si>
  <si>
    <t>ORIGINAL BUDGET FOR 2021</t>
  </si>
  <si>
    <r>
      <rPr>
        <sz val="8"/>
        <rFont val="Arial Narrow"/>
        <family val="2"/>
      </rPr>
      <t>                  0</t>
    </r>
  </si>
  <si>
    <r>
      <rPr>
        <sz val="8"/>
        <rFont val="Arial Narrow"/>
        <family val="2"/>
      </rPr>
      <t>                     0</t>
    </r>
  </si>
  <si>
    <t>18th and Walnut Partners - REVERB</t>
  </si>
  <si>
    <t>Power Tower</t>
  </si>
  <si>
    <t>Capital Calls</t>
  </si>
  <si>
    <t>3/15/2021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</si>
</sst>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9" x14ac:knownFonts="1">
    <font>
      <sz val="10"/>
      <color rgb="FF000000"/>
      <name val="Times New Roman"/>
      <charset val="204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Times New Roman"/>
      <family val="1"/>
    </font>
    <font>
      <u/>
      <sz val="8"/>
      <name val="Arial Narrow"/>
      <family val="2"/>
    </font>
    <font>
      <b/>
      <u/>
      <sz val="8"/>
      <name val="Arial Narrow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right" vertical="top" shrinkToFit="1"/>
    </xf>
    <xf numFmtId="3" fontId="1" fillId="0" borderId="0" xfId="0" applyNumberFormat="1" applyFont="1" applyFill="1" applyBorder="1" applyAlignment="1">
      <alignment horizontal="right" vertical="top" indent="1" shrinkToFit="1"/>
    </xf>
    <xf numFmtId="37" fontId="1" fillId="0" borderId="0" xfId="0" applyNumberFormat="1" applyFont="1" applyFill="1" applyBorder="1" applyAlignment="1">
      <alignment horizontal="right" vertical="top" indent="1" shrinkToFit="1"/>
    </xf>
    <xf numFmtId="1" fontId="1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165" fontId="14" fillId="0" borderId="2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 indent="1"/>
    </xf>
    <xf numFmtId="37" fontId="14" fillId="0" borderId="0" xfId="0" applyNumberFormat="1" applyFont="1" applyFill="1" applyBorder="1" applyAlignment="1">
      <alignment horizontal="right" vertical="center" wrapText="1" indent="1"/>
    </xf>
    <xf numFmtId="37" fontId="14" fillId="2" borderId="0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top" shrinkToFit="1"/>
    </xf>
    <xf numFmtId="0" fontId="0" fillId="3" borderId="0" xfId="0" applyFill="1" applyBorder="1" applyAlignment="1">
      <alignment horizontal="right" vertical="top" wrapText="1" indent="1"/>
    </xf>
    <xf numFmtId="37" fontId="14" fillId="4" borderId="3" xfId="0" applyNumberFormat="1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center" shrinkToFit="1"/>
    </xf>
    <xf numFmtId="1" fontId="1" fillId="3" borderId="0" xfId="0" applyNumberFormat="1" applyFont="1" applyFill="1" applyBorder="1" applyAlignment="1">
      <alignment horizontal="right" vertical="center" indent="1" shrinkToFit="1"/>
    </xf>
    <xf numFmtId="1" fontId="1" fillId="3" borderId="0" xfId="0" applyNumberFormat="1" applyFont="1" applyFill="1" applyBorder="1" applyAlignment="1">
      <alignment horizontal="right" vertical="top" indent="1" shrinkToFi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horizontal="right" vertical="top" wrapText="1" indent="1"/>
    </xf>
    <xf numFmtId="164" fontId="1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Alignment="1">
      <alignment horizontal="left" vertical="top"/>
    </xf>
    <xf numFmtId="165" fontId="17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3" fontId="1" fillId="0" borderId="4" xfId="0" applyNumberFormat="1" applyFont="1" applyFill="1" applyBorder="1" applyAlignment="1">
      <alignment horizontal="right" vertical="top" indent="1" shrinkToFit="1"/>
    </xf>
    <xf numFmtId="37" fontId="1" fillId="0" borderId="4" xfId="0" applyNumberFormat="1" applyFont="1" applyFill="1" applyBorder="1" applyAlignment="1">
      <alignment horizontal="right" vertical="top" indent="1" shrinkToFit="1"/>
    </xf>
    <xf numFmtId="3" fontId="1" fillId="0" borderId="1" xfId="0" applyNumberFormat="1" applyFont="1" applyFill="1" applyBorder="1" applyAlignment="1">
      <alignment horizontal="right" vertical="center" indent="1" shrinkToFit="1"/>
    </xf>
    <xf numFmtId="0" fontId="1" fillId="0" borderId="1" xfId="0" applyFont="1" applyFill="1" applyBorder="1" applyAlignment="1">
      <alignment horizontal="right" vertical="top" wrapText="1" indent="1"/>
    </xf>
    <xf numFmtId="37" fontId="1" fillId="0" borderId="1" xfId="0" applyNumberFormat="1" applyFont="1" applyFill="1" applyBorder="1" applyAlignment="1">
      <alignment horizontal="right" vertical="center" shrinkToFit="1"/>
    </xf>
    <xf numFmtId="37" fontId="1" fillId="0" borderId="1" xfId="0" applyNumberFormat="1" applyFont="1" applyFill="1" applyBorder="1" applyAlignment="1">
      <alignment horizontal="right" vertical="top" wrapText="1" indent="1"/>
    </xf>
    <xf numFmtId="3" fontId="1" fillId="0" borderId="0" xfId="0" applyNumberFormat="1" applyFont="1" applyFill="1" applyBorder="1" applyAlignment="1">
      <alignment horizontal="right" indent="1" shrinkToFit="1"/>
    </xf>
    <xf numFmtId="37" fontId="1" fillId="0" borderId="0" xfId="0" applyNumberFormat="1" applyFont="1" applyFill="1" applyBorder="1" applyAlignment="1">
      <alignment horizontal="right" indent="1" shrinkToFit="1"/>
    </xf>
    <xf numFmtId="164" fontId="1" fillId="0" borderId="0" xfId="0" applyNumberFormat="1" applyFont="1" applyFill="1" applyBorder="1" applyAlignment="1">
      <alignment horizontal="right" indent="1" shrinkToFit="1"/>
    </xf>
    <xf numFmtId="1" fontId="1" fillId="0" borderId="0" xfId="0" applyNumberFormat="1" applyFont="1" applyFill="1" applyBorder="1" applyAlignment="1">
      <alignment horizontal="right" indent="1" shrinkToFit="1"/>
    </xf>
    <xf numFmtId="37" fontId="1" fillId="0" borderId="0" xfId="0" applyNumberFormat="1" applyFont="1" applyFill="1" applyBorder="1" applyAlignment="1">
      <alignment horizontal="right" shrinkToFit="1"/>
    </xf>
    <xf numFmtId="10" fontId="1" fillId="0" borderId="0" xfId="0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right" indent="1" shrinkToFit="1"/>
    </xf>
    <xf numFmtId="37" fontId="1" fillId="0" borderId="0" xfId="0" applyNumberFormat="1" applyFont="1" applyAlignment="1">
      <alignment horizontal="right" vertical="top" indent="1" shrinkToFit="1"/>
    </xf>
    <xf numFmtId="1" fontId="1" fillId="0" borderId="0" xfId="0" applyNumberFormat="1" applyFont="1" applyAlignment="1">
      <alignment horizontal="right" vertical="top" indent="1" shrinkToFit="1"/>
    </xf>
    <xf numFmtId="0" fontId="5" fillId="0" borderId="0" xfId="0" applyFont="1" applyFill="1" applyAlignment="1">
      <alignment horizontal="left" vertical="top" wrapText="1"/>
    </xf>
    <xf numFmtId="37" fontId="1" fillId="0" borderId="1" xfId="0" applyNumberFormat="1" applyFont="1" applyFill="1" applyBorder="1" applyAlignment="1">
      <alignment horizontal="right" vertical="top" wrapText="1"/>
    </xf>
    <xf numFmtId="37" fontId="1" fillId="0" borderId="0" xfId="0" applyNumberFormat="1" applyFont="1" applyFill="1" applyAlignment="1">
      <alignment horizontal="right" vertical="top" indent="1" shrinkToFi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/>
    </xf>
    <xf numFmtId="165" fontId="1" fillId="0" borderId="0" xfId="1" applyNumberFormat="1" applyFont="1" applyFill="1" applyBorder="1" applyAlignment="1">
      <alignment horizontal="right" vertical="top" indent="1" shrinkToFit="1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1" xfId="1" applyNumberFormat="1" applyFont="1" applyFill="1" applyBorder="1" applyAlignment="1">
      <alignment horizontal="right" vertical="top" indent="1" shrinkToFit="1"/>
    </xf>
    <xf numFmtId="1" fontId="1" fillId="0" borderId="1" xfId="0" applyNumberFormat="1" applyFont="1" applyFill="1" applyBorder="1" applyAlignment="1">
      <alignment horizontal="right" vertical="top" indent="1" shrinkToFit="1"/>
    </xf>
    <xf numFmtId="165" fontId="1" fillId="0" borderId="1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152613</xdr:colOff>
      <xdr:row>0</xdr:row>
      <xdr:rowOff>0</xdr:rowOff>
    </xdr:from>
    <xdr:to>
      <xdr:col>10</xdr:col>
      <xdr:colOff>225943</xdr:colOff>
      <xdr:row>0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8743315" cy="0"/>
        </a:xfrm>
        <a:custGeom>
          <a:avLst/>
          <a:gdLst/>
          <a:ahLst/>
          <a:cxnLst/>
          <a:rect l="0" t="0" r="0" b="0"/>
          <a:pathLst>
            <a:path w="8743315">
              <a:moveTo>
                <a:pt x="0" y="0"/>
              </a:moveTo>
              <a:lnTo>
                <a:pt x="8743187" y="0"/>
              </a:lnTo>
            </a:path>
          </a:pathLst>
        </a:custGeom>
        <a:ln w="1261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zoomScale="130" zoomScaleNormal="130" workbookViewId="0">
      <selection activeCell="J2" sqref="J2"/>
    </sheetView>
  </sheetViews>
  <sheetFormatPr defaultRowHeight="12.75" x14ac:dyDescent="0.2"/>
  <cols>
    <col min="1" max="1" width="30.83203125" customWidth="1"/>
    <col min="2" max="2" width="9.33203125" customWidth="1"/>
    <col min="3" max="5" width="14" customWidth="1"/>
    <col min="6" max="6" width="16.6640625" customWidth="1"/>
    <col min="7" max="7" width="14" customWidth="1"/>
    <col min="8" max="8" width="17.5" customWidth="1"/>
    <col min="9" max="9" width="15.6640625" customWidth="1"/>
    <col min="10" max="10" width="12.6640625" customWidth="1"/>
    <col min="11" max="11" width="40.1640625" customWidth="1"/>
  </cols>
  <sheetData>
    <row r="1" spans="1:11" s="13" customFormat="1" ht="21.75" customHeight="1" x14ac:dyDescent="0.2">
      <c r="A1" s="15" t="s">
        <v>0</v>
      </c>
      <c r="B1" s="12"/>
      <c r="C1" s="12"/>
      <c r="D1" s="12"/>
      <c r="E1" s="12"/>
      <c r="F1" s="12"/>
      <c r="G1" s="12"/>
      <c r="H1" s="12"/>
      <c r="I1" s="12"/>
      <c r="J1" s="21" t="s">
        <v>61</v>
      </c>
      <c r="K1" s="12"/>
    </row>
    <row r="2" spans="1:11" s="13" customFormat="1" ht="21.75" customHeight="1" x14ac:dyDescent="0.2">
      <c r="A2" s="16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3" customFormat="1" ht="21.75" customHeight="1" x14ac:dyDescent="0.2">
      <c r="A3" s="14" t="s">
        <v>55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20" customFormat="1" ht="38.25" x14ac:dyDescent="0.2">
      <c r="A4" s="18"/>
      <c r="B4" s="18" t="s">
        <v>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10</v>
      </c>
      <c r="K4" s="19"/>
    </row>
    <row r="5" spans="1:11" ht="24.75" customHeight="1" x14ac:dyDescent="0.25">
      <c r="A5" s="1" t="s">
        <v>11</v>
      </c>
      <c r="B5" s="57">
        <v>0.9</v>
      </c>
      <c r="C5" s="52">
        <v>746637</v>
      </c>
      <c r="D5" s="53">
        <v>-506764</v>
      </c>
      <c r="E5" s="54">
        <v>-1026</v>
      </c>
      <c r="F5" s="55">
        <v>0</v>
      </c>
      <c r="G5" s="55">
        <v>0</v>
      </c>
      <c r="H5" s="52">
        <f>SUM(C5:G5)</f>
        <v>238847</v>
      </c>
      <c r="I5" s="53">
        <v>-252000</v>
      </c>
      <c r="J5" s="56">
        <f>SUM(H5:I5)</f>
        <v>-13153</v>
      </c>
    </row>
    <row r="6" spans="1:11" ht="11.25" customHeight="1" x14ac:dyDescent="0.2">
      <c r="A6" s="3" t="s">
        <v>12</v>
      </c>
      <c r="B6" s="4">
        <v>0.19189999999999999</v>
      </c>
      <c r="C6" s="5">
        <v>33778</v>
      </c>
      <c r="D6" s="6">
        <v>-23899</v>
      </c>
      <c r="E6" s="6">
        <v>1052</v>
      </c>
      <c r="F6" s="7">
        <v>0</v>
      </c>
      <c r="G6" s="7">
        <v>0</v>
      </c>
      <c r="H6" s="2">
        <f>SUM(C6:G6)</f>
        <v>10931</v>
      </c>
      <c r="I6" s="7">
        <v>0</v>
      </c>
      <c r="J6" s="10">
        <f t="shared" ref="J6:J16" si="0">SUM(H6:I6)</f>
        <v>10931</v>
      </c>
    </row>
    <row r="7" spans="1:11" ht="11.25" customHeight="1" x14ac:dyDescent="0.2">
      <c r="A7" s="3" t="s">
        <v>13</v>
      </c>
      <c r="B7" s="4">
        <v>3.0300000000000001E-2</v>
      </c>
      <c r="C7" s="7">
        <v>0</v>
      </c>
      <c r="D7" s="7">
        <v>0</v>
      </c>
      <c r="E7" s="7">
        <v>0</v>
      </c>
      <c r="F7" s="7">
        <v>0</v>
      </c>
      <c r="G7" s="2">
        <v>48000</v>
      </c>
      <c r="H7" s="2">
        <f>SUM(C7:G7)</f>
        <v>48000</v>
      </c>
      <c r="I7" s="10">
        <v>-48000</v>
      </c>
      <c r="J7" s="10">
        <f t="shared" si="0"/>
        <v>0</v>
      </c>
    </row>
    <row r="8" spans="1:11" ht="11.25" customHeight="1" x14ac:dyDescent="0.2">
      <c r="A8" s="3" t="s">
        <v>14</v>
      </c>
      <c r="B8" s="4">
        <v>1E-4</v>
      </c>
      <c r="C8" s="46">
        <v>303</v>
      </c>
      <c r="D8" s="47">
        <v>-264</v>
      </c>
      <c r="E8" s="47">
        <v>-28</v>
      </c>
      <c r="F8" s="49" t="s">
        <v>56</v>
      </c>
      <c r="G8" s="49" t="s">
        <v>57</v>
      </c>
      <c r="H8" s="48">
        <f>SUM(C8:G8)</f>
        <v>11</v>
      </c>
      <c r="I8" s="47">
        <v>0</v>
      </c>
      <c r="J8" s="50">
        <f t="shared" si="0"/>
        <v>11</v>
      </c>
    </row>
    <row r="9" spans="1:11" ht="17.100000000000001" customHeight="1" x14ac:dyDescent="0.2">
      <c r="A9" s="8" t="s">
        <v>16</v>
      </c>
      <c r="B9" s="9"/>
      <c r="C9" s="6">
        <f>SUM(C5:C8)</f>
        <v>780718</v>
      </c>
      <c r="D9" s="6">
        <f t="shared" ref="D9:E9" si="1">SUM(D5:D8)</f>
        <v>-530927</v>
      </c>
      <c r="E9" s="6">
        <f t="shared" si="1"/>
        <v>-2</v>
      </c>
      <c r="F9" s="5">
        <f t="shared" ref="F9:J9" si="2">SUM(F5:F8)</f>
        <v>0</v>
      </c>
      <c r="G9" s="5">
        <f t="shared" si="2"/>
        <v>48000</v>
      </c>
      <c r="H9" s="6">
        <f t="shared" si="2"/>
        <v>297789</v>
      </c>
      <c r="I9" s="6">
        <f t="shared" si="2"/>
        <v>-300000</v>
      </c>
      <c r="J9" s="6">
        <f t="shared" si="2"/>
        <v>-2211</v>
      </c>
    </row>
    <row r="10" spans="1:11" ht="28.35" customHeight="1" x14ac:dyDescent="0.25">
      <c r="A10" s="1" t="s">
        <v>17</v>
      </c>
      <c r="B10" s="57">
        <v>8.2600000000000007E-2</v>
      </c>
      <c r="C10" s="52">
        <v>8863</v>
      </c>
      <c r="D10" s="55">
        <v>0</v>
      </c>
      <c r="E10" s="55">
        <v>0</v>
      </c>
      <c r="F10" s="55">
        <v>0</v>
      </c>
      <c r="G10" s="55">
        <v>0</v>
      </c>
      <c r="H10" s="52">
        <f>SUM(C10:G10)</f>
        <v>8863</v>
      </c>
      <c r="I10" s="53">
        <v>-11146</v>
      </c>
      <c r="J10" s="56">
        <f t="shared" si="0"/>
        <v>-2283</v>
      </c>
    </row>
    <row r="11" spans="1:11" ht="11.25" customHeight="1" x14ac:dyDescent="0.2">
      <c r="A11" s="3" t="s">
        <v>18</v>
      </c>
      <c r="B11" s="4">
        <v>0.23699999999999999</v>
      </c>
      <c r="C11" s="5">
        <v>177183</v>
      </c>
      <c r="D11" s="6">
        <v>-102991</v>
      </c>
      <c r="E11" s="5">
        <v>265</v>
      </c>
      <c r="F11" s="6">
        <v>-76830</v>
      </c>
      <c r="G11" s="7">
        <v>0</v>
      </c>
      <c r="H11" s="6">
        <f>SUM(C11:G11)</f>
        <v>-2373</v>
      </c>
      <c r="I11" s="6">
        <v>78211</v>
      </c>
      <c r="J11" s="10">
        <f t="shared" si="0"/>
        <v>75838</v>
      </c>
    </row>
    <row r="12" spans="1:11" ht="11.25" customHeight="1" x14ac:dyDescent="0.2">
      <c r="A12" s="3" t="s">
        <v>19</v>
      </c>
      <c r="B12" s="4">
        <v>0.3261</v>
      </c>
      <c r="C12" s="51">
        <v>392757</v>
      </c>
      <c r="D12" s="51">
        <v>-231108</v>
      </c>
      <c r="E12" s="51">
        <v>-4696</v>
      </c>
      <c r="F12" s="51">
        <v>-21749</v>
      </c>
      <c r="G12" s="51" t="s">
        <v>57</v>
      </c>
      <c r="H12" s="48">
        <f>SUM(C12:G12)</f>
        <v>135204</v>
      </c>
      <c r="I12" s="47">
        <v>-130441</v>
      </c>
      <c r="J12" s="50">
        <f t="shared" si="0"/>
        <v>4763</v>
      </c>
    </row>
    <row r="13" spans="1:11" ht="17.100000000000001" customHeight="1" x14ac:dyDescent="0.2">
      <c r="A13" s="8" t="s">
        <v>20</v>
      </c>
      <c r="B13" s="9"/>
      <c r="C13" s="6">
        <f t="shared" ref="C13:J13" si="3">SUM(C10:C12)</f>
        <v>578803</v>
      </c>
      <c r="D13" s="6">
        <f t="shared" si="3"/>
        <v>-334099</v>
      </c>
      <c r="E13" s="6">
        <f t="shared" si="3"/>
        <v>-4431</v>
      </c>
      <c r="F13" s="6">
        <f t="shared" si="3"/>
        <v>-98579</v>
      </c>
      <c r="G13" s="6">
        <f t="shared" si="3"/>
        <v>0</v>
      </c>
      <c r="H13" s="6">
        <f t="shared" si="3"/>
        <v>141694</v>
      </c>
      <c r="I13" s="6">
        <f t="shared" si="3"/>
        <v>-63376</v>
      </c>
      <c r="J13" s="6">
        <f t="shared" si="3"/>
        <v>78318</v>
      </c>
    </row>
    <row r="14" spans="1:11" ht="26.25" customHeight="1" x14ac:dyDescent="0.25">
      <c r="A14" s="1" t="s">
        <v>21</v>
      </c>
      <c r="B14" s="57">
        <v>4.4999999999999998E-2</v>
      </c>
      <c r="C14" s="52">
        <f>200000*B14</f>
        <v>9000</v>
      </c>
      <c r="D14" s="53">
        <f>-270000*B14</f>
        <v>-12150</v>
      </c>
      <c r="E14" s="55">
        <v>0</v>
      </c>
      <c r="F14" s="55">
        <v>0</v>
      </c>
      <c r="G14" s="53">
        <f>11225820*B14+3150</f>
        <v>508311.89999999997</v>
      </c>
      <c r="H14" s="53">
        <f>SUM(C14:G14)</f>
        <v>505161.89999999997</v>
      </c>
      <c r="I14" s="53">
        <v>-505162</v>
      </c>
      <c r="J14" s="56">
        <f t="shared" si="0"/>
        <v>-0.1000000000349246</v>
      </c>
    </row>
    <row r="15" spans="1:11" ht="14.25" customHeight="1" x14ac:dyDescent="0.25">
      <c r="A15" s="65" t="s">
        <v>59</v>
      </c>
      <c r="B15" s="4">
        <v>0.5</v>
      </c>
      <c r="C15" s="53">
        <f>-6000*B15</f>
        <v>-3000</v>
      </c>
      <c r="D15" s="53">
        <v>0</v>
      </c>
      <c r="E15" s="55">
        <v>0</v>
      </c>
      <c r="F15" s="55">
        <v>0</v>
      </c>
      <c r="G15" s="53">
        <f>-400000*B15</f>
        <v>-200000</v>
      </c>
      <c r="H15" s="53">
        <f>SUM(C15:G15)</f>
        <v>-203000</v>
      </c>
      <c r="I15" s="53">
        <v>200000</v>
      </c>
      <c r="J15" s="56">
        <f t="shared" si="0"/>
        <v>-3000</v>
      </c>
    </row>
    <row r="16" spans="1:11" ht="11.25" customHeight="1" x14ac:dyDescent="0.2">
      <c r="A16" s="3" t="s">
        <v>58</v>
      </c>
      <c r="B16" s="4">
        <v>0.19189999999999999</v>
      </c>
      <c r="C16" s="51">
        <f>1110208*B16</f>
        <v>213048.91519999999</v>
      </c>
      <c r="D16" s="51">
        <f>-733039*B16</f>
        <v>-140670.18409999998</v>
      </c>
      <c r="E16" s="49" t="s">
        <v>56</v>
      </c>
      <c r="F16" s="49" t="s">
        <v>56</v>
      </c>
      <c r="G16" s="51">
        <f>-41800*B16</f>
        <v>-8021.4199999999992</v>
      </c>
      <c r="H16" s="48">
        <f>SUM(C16:G16)</f>
        <v>64357.311100000006</v>
      </c>
      <c r="I16" s="49">
        <v>0</v>
      </c>
      <c r="J16" s="50">
        <f t="shared" si="0"/>
        <v>64357.311100000006</v>
      </c>
    </row>
    <row r="17" spans="1:11" ht="17.100000000000001" customHeight="1" x14ac:dyDescent="0.25">
      <c r="A17" s="8" t="s">
        <v>22</v>
      </c>
      <c r="B17" s="9"/>
      <c r="C17" s="52">
        <f>SUM(C14:C16)</f>
        <v>219048.91519999999</v>
      </c>
      <c r="D17" s="53">
        <f t="shared" ref="D17:J17" si="4">SUM(D14:D16)</f>
        <v>-152820.18409999998</v>
      </c>
      <c r="E17" s="52">
        <f t="shared" si="4"/>
        <v>0</v>
      </c>
      <c r="F17" s="52">
        <f t="shared" si="4"/>
        <v>0</v>
      </c>
      <c r="G17" s="52">
        <f t="shared" si="4"/>
        <v>300290.48</v>
      </c>
      <c r="H17" s="52">
        <f t="shared" si="4"/>
        <v>366519.21109999996</v>
      </c>
      <c r="I17" s="52">
        <f t="shared" si="4"/>
        <v>-305162</v>
      </c>
      <c r="J17" s="52">
        <f t="shared" si="4"/>
        <v>61357.211099999971</v>
      </c>
    </row>
    <row r="18" spans="1:11" ht="28.35" customHeight="1" x14ac:dyDescent="0.25">
      <c r="A18" s="1" t="s">
        <v>23</v>
      </c>
      <c r="B18" s="57">
        <v>0.1111</v>
      </c>
      <c r="C18" s="53">
        <v>-1157</v>
      </c>
      <c r="D18" s="55">
        <v>0</v>
      </c>
      <c r="E18" s="55">
        <v>16</v>
      </c>
      <c r="F18" s="55">
        <v>0</v>
      </c>
      <c r="G18" s="55">
        <v>0</v>
      </c>
      <c r="H18" s="53">
        <f>SUM(C18:G18)</f>
        <v>-1141</v>
      </c>
      <c r="I18" s="53">
        <v>3333</v>
      </c>
      <c r="J18" s="56">
        <f t="shared" ref="J18:J19" si="5">SUM(H18:I18)</f>
        <v>2192</v>
      </c>
    </row>
    <row r="19" spans="1:11" ht="11.25" customHeight="1" x14ac:dyDescent="0.25">
      <c r="A19" s="3" t="s">
        <v>24</v>
      </c>
      <c r="B19" s="4">
        <v>6.0199999999999997E-2</v>
      </c>
      <c r="C19" s="41">
        <v>-415</v>
      </c>
      <c r="D19" s="7">
        <v>0</v>
      </c>
      <c r="E19" s="5">
        <v>282036</v>
      </c>
      <c r="F19" s="7">
        <v>0</v>
      </c>
      <c r="G19" s="6">
        <v>64717</v>
      </c>
      <c r="H19" s="6">
        <f>SUM(C19:G19)</f>
        <v>346338</v>
      </c>
      <c r="I19" s="6">
        <v>-358071</v>
      </c>
      <c r="J19" s="56">
        <f t="shared" si="5"/>
        <v>-11733</v>
      </c>
    </row>
    <row r="20" spans="1:11" ht="11.25" customHeight="1" x14ac:dyDescent="0.25">
      <c r="A20" s="58" t="s">
        <v>25</v>
      </c>
      <c r="B20" s="4">
        <f>22.223%*29.456%</f>
        <v>6.5460068799999993E-2</v>
      </c>
      <c r="C20" s="59">
        <f>-360000*B20</f>
        <v>-23565.624767999998</v>
      </c>
      <c r="D20" s="59">
        <v>0</v>
      </c>
      <c r="E20" s="59">
        <f>3800*12*B20</f>
        <v>2984.9791372799996</v>
      </c>
      <c r="F20" s="59">
        <v>0</v>
      </c>
      <c r="G20" s="59">
        <f>-500000*B20</f>
        <v>-32730.034399999997</v>
      </c>
      <c r="H20" s="59">
        <f>SUM(C20:G20)</f>
        <v>-53310.680030719996</v>
      </c>
      <c r="I20" s="59">
        <v>0</v>
      </c>
      <c r="J20" s="63">
        <f>SUM(H20:I20)</f>
        <v>-53310.680030719996</v>
      </c>
    </row>
    <row r="21" spans="1:11" ht="17.100000000000001" customHeight="1" x14ac:dyDescent="0.25">
      <c r="A21" s="8" t="s">
        <v>26</v>
      </c>
      <c r="B21" s="9"/>
      <c r="C21" s="53">
        <f>SUM(C18:C20)</f>
        <v>-25137.624767999998</v>
      </c>
      <c r="D21" s="53">
        <f t="shared" ref="D21:J21" si="6">SUM(D18:D20)</f>
        <v>0</v>
      </c>
      <c r="E21" s="53">
        <f t="shared" si="6"/>
        <v>285036.97913728002</v>
      </c>
      <c r="F21" s="53">
        <f t="shared" si="6"/>
        <v>0</v>
      </c>
      <c r="G21" s="53">
        <f t="shared" si="6"/>
        <v>31986.965600000003</v>
      </c>
      <c r="H21" s="53">
        <f t="shared" si="6"/>
        <v>291886.31996927998</v>
      </c>
      <c r="I21" s="53">
        <f t="shared" si="6"/>
        <v>-354738</v>
      </c>
      <c r="J21" s="53">
        <f t="shared" si="6"/>
        <v>-62851.680030719996</v>
      </c>
    </row>
    <row r="22" spans="1:11" ht="28.35" hidden="1" customHeight="1" x14ac:dyDescent="0.2">
      <c r="A22" s="34" t="s">
        <v>27</v>
      </c>
      <c r="B22" s="35">
        <v>1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</row>
    <row r="23" spans="1:11" ht="11.25" hidden="1" customHeight="1" x14ac:dyDescent="0.2">
      <c r="A23" s="30" t="s">
        <v>28</v>
      </c>
      <c r="B23" s="31">
        <v>0.28899999999999998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</row>
    <row r="24" spans="1:11" ht="11.25" hidden="1" customHeight="1" x14ac:dyDescent="0.2">
      <c r="A24" s="30" t="s">
        <v>29</v>
      </c>
      <c r="B24" s="31">
        <v>1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</row>
    <row r="25" spans="1:11" ht="11.25" hidden="1" customHeight="1" x14ac:dyDescent="0.2">
      <c r="A25" s="30" t="s">
        <v>30</v>
      </c>
      <c r="B25" s="31">
        <v>0.57579999999999998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</row>
    <row r="26" spans="1:11" ht="11.25" hidden="1" customHeight="1" x14ac:dyDescent="0.2">
      <c r="A26" s="30" t="s">
        <v>31</v>
      </c>
      <c r="B26" s="31">
        <v>0.57579999999999998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</row>
    <row r="27" spans="1:11" ht="11.25" hidden="1" customHeight="1" x14ac:dyDescent="0.2">
      <c r="A27" s="30" t="s">
        <v>32</v>
      </c>
      <c r="B27" s="31">
        <v>1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</row>
    <row r="28" spans="1:11" ht="11.25" hidden="1" customHeight="1" x14ac:dyDescent="0.2">
      <c r="A28" s="30" t="s">
        <v>33</v>
      </c>
      <c r="B28" s="31">
        <v>1</v>
      </c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</row>
    <row r="29" spans="1:11" ht="11.25" hidden="1" customHeight="1" x14ac:dyDescent="0.2">
      <c r="A29" s="30" t="s">
        <v>34</v>
      </c>
      <c r="B29" s="31">
        <v>0.75</v>
      </c>
      <c r="C29" s="37">
        <v>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37">
        <v>0</v>
      </c>
      <c r="J29" s="37">
        <v>0</v>
      </c>
    </row>
    <row r="30" spans="1:11" ht="11.25" hidden="1" customHeight="1" x14ac:dyDescent="0.2">
      <c r="A30" s="30" t="s">
        <v>35</v>
      </c>
      <c r="B30" s="31">
        <v>0.01</v>
      </c>
      <c r="C30" s="32" t="s">
        <v>15</v>
      </c>
      <c r="D30" s="32" t="s">
        <v>15</v>
      </c>
      <c r="E30" s="32" t="s">
        <v>15</v>
      </c>
      <c r="F30" s="32" t="s">
        <v>15</v>
      </c>
      <c r="G30" s="32" t="s">
        <v>15</v>
      </c>
      <c r="H30" s="32" t="s">
        <v>15</v>
      </c>
      <c r="I30" s="32" t="s">
        <v>15</v>
      </c>
      <c r="J30" s="32" t="s">
        <v>15</v>
      </c>
    </row>
    <row r="31" spans="1:11" ht="11.25" hidden="1" customHeight="1" x14ac:dyDescent="0.2">
      <c r="A31" s="38" t="s">
        <v>36</v>
      </c>
      <c r="B31" s="39"/>
      <c r="C31" s="40" t="s">
        <v>37</v>
      </c>
      <c r="D31" s="40" t="s">
        <v>37</v>
      </c>
      <c r="E31" s="40" t="s">
        <v>37</v>
      </c>
      <c r="F31" s="40" t="s">
        <v>37</v>
      </c>
      <c r="G31" s="40" t="s">
        <v>37</v>
      </c>
      <c r="H31" s="40" t="s">
        <v>37</v>
      </c>
      <c r="I31" s="40" t="s">
        <v>37</v>
      </c>
      <c r="J31" s="40" t="s">
        <v>37</v>
      </c>
    </row>
    <row r="32" spans="1:11" ht="11.25" customHeight="1" x14ac:dyDescent="0.2">
      <c r="A32" s="27" t="s">
        <v>38</v>
      </c>
      <c r="B32" s="11"/>
      <c r="C32" s="29">
        <f t="shared" ref="C32:J32" si="7">C9+C13+C17+C21</f>
        <v>1553432.2904319998</v>
      </c>
      <c r="D32" s="29">
        <f t="shared" si="7"/>
        <v>-1017846.1841</v>
      </c>
      <c r="E32" s="29">
        <f t="shared" si="7"/>
        <v>280603.97913728002</v>
      </c>
      <c r="F32" s="29">
        <f t="shared" si="7"/>
        <v>-98579</v>
      </c>
      <c r="G32" s="29">
        <f t="shared" si="7"/>
        <v>380277.44559999998</v>
      </c>
      <c r="H32" s="29">
        <f t="shared" si="7"/>
        <v>1097888.5310692799</v>
      </c>
      <c r="I32" s="29">
        <f t="shared" si="7"/>
        <v>-1023276</v>
      </c>
      <c r="J32" s="29">
        <f t="shared" si="7"/>
        <v>74612.531069279969</v>
      </c>
      <c r="K32" s="28"/>
    </row>
    <row r="34" spans="1:10" x14ac:dyDescent="0.2">
      <c r="A34" s="22" t="s">
        <v>39</v>
      </c>
    </row>
    <row r="35" spans="1:10" hidden="1" x14ac:dyDescent="0.2">
      <c r="A35" s="23" t="s">
        <v>40</v>
      </c>
      <c r="B35" s="4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1:10" hidden="1" x14ac:dyDescent="0.2">
      <c r="A36" s="23" t="s">
        <v>41</v>
      </c>
      <c r="B36" s="4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hidden="1" x14ac:dyDescent="0.2">
      <c r="A37" s="23" t="s">
        <v>42</v>
      </c>
      <c r="B37" s="4">
        <f>3.029%*27.9633%</f>
        <v>8.4700835700000001E-3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1:10" x14ac:dyDescent="0.2">
      <c r="A38" s="62" t="s">
        <v>43</v>
      </c>
      <c r="B38" s="4">
        <v>5.0799999999999998E-2</v>
      </c>
      <c r="C38" s="64">
        <f>2078000*B38</f>
        <v>105562.4</v>
      </c>
      <c r="D38" s="60">
        <f>-2335000*B38</f>
        <v>-118618</v>
      </c>
      <c r="E38" s="60">
        <f>(574000)*B38</f>
        <v>29159.199999999997</v>
      </c>
      <c r="F38" s="60">
        <v>0</v>
      </c>
      <c r="G38" s="60">
        <v>0</v>
      </c>
      <c r="H38" s="60">
        <f>SUM(C38:G38)</f>
        <v>16103.599999999991</v>
      </c>
      <c r="I38" s="61">
        <v>0</v>
      </c>
      <c r="J38" s="60">
        <f>SUM(H38:I38)</f>
        <v>16103.599999999991</v>
      </c>
    </row>
    <row r="39" spans="1:10" hidden="1" x14ac:dyDescent="0.2">
      <c r="A39" s="23" t="s">
        <v>44</v>
      </c>
      <c r="B39" s="4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</row>
    <row r="40" spans="1:10" hidden="1" x14ac:dyDescent="0.2">
      <c r="A40" s="23" t="s">
        <v>45</v>
      </c>
      <c r="B40" s="4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1:10" x14ac:dyDescent="0.2">
      <c r="A41" s="27" t="s">
        <v>46</v>
      </c>
      <c r="B41" s="4"/>
      <c r="C41" s="33">
        <f>SUM(C32:C40)</f>
        <v>1658994.6904319997</v>
      </c>
      <c r="D41" s="33">
        <f t="shared" ref="D41:I41" si="8">SUM(D32:D40)</f>
        <v>-1136464.1841</v>
      </c>
      <c r="E41" s="33">
        <f t="shared" si="8"/>
        <v>309763.17913728004</v>
      </c>
      <c r="F41" s="33">
        <f t="shared" si="8"/>
        <v>-98579</v>
      </c>
      <c r="G41" s="33">
        <f t="shared" si="8"/>
        <v>380277.44559999998</v>
      </c>
      <c r="H41" s="33">
        <f t="shared" si="8"/>
        <v>1113992.13106928</v>
      </c>
      <c r="I41" s="33">
        <f t="shared" si="8"/>
        <v>-1023276</v>
      </c>
      <c r="J41" s="33">
        <f>SUM(J32:J40)</f>
        <v>90716.13106927996</v>
      </c>
    </row>
    <row r="42" spans="1:10" x14ac:dyDescent="0.2">
      <c r="A42" s="24"/>
      <c r="B42" s="4"/>
    </row>
    <row r="43" spans="1:10" x14ac:dyDescent="0.2">
      <c r="A43" s="25" t="s">
        <v>47</v>
      </c>
      <c r="B43" s="4"/>
    </row>
    <row r="44" spans="1:10" x14ac:dyDescent="0.2">
      <c r="A44" s="66" t="s">
        <v>48</v>
      </c>
      <c r="B44" s="4">
        <v>1</v>
      </c>
      <c r="C44" s="67">
        <v>445400</v>
      </c>
      <c r="D44" s="7">
        <v>0</v>
      </c>
      <c r="E44" s="7">
        <v>0</v>
      </c>
      <c r="F44" s="7">
        <v>0</v>
      </c>
      <c r="G44" s="7">
        <v>0</v>
      </c>
      <c r="H44" s="67">
        <f>SUM(C44:G44)</f>
        <v>445400</v>
      </c>
      <c r="I44" s="7">
        <v>0</v>
      </c>
      <c r="J44" s="68">
        <f>SUM(H44:I44)</f>
        <v>445400</v>
      </c>
    </row>
    <row r="45" spans="1:10" x14ac:dyDescent="0.2">
      <c r="A45" s="66" t="s">
        <v>49</v>
      </c>
      <c r="B45" s="4">
        <v>1</v>
      </c>
      <c r="C45" s="67">
        <v>228000</v>
      </c>
      <c r="D45" s="7">
        <v>0</v>
      </c>
      <c r="E45" s="7">
        <v>0</v>
      </c>
      <c r="F45" s="7">
        <v>0</v>
      </c>
      <c r="G45" s="7">
        <v>0</v>
      </c>
      <c r="H45" s="67">
        <f t="shared" ref="H45:H48" si="9">SUM(C45:G45)</f>
        <v>228000</v>
      </c>
      <c r="I45" s="7">
        <v>0</v>
      </c>
      <c r="J45" s="68">
        <f t="shared" ref="J45:J48" si="10">SUM(H45:I45)</f>
        <v>228000</v>
      </c>
    </row>
    <row r="46" spans="1:10" x14ac:dyDescent="0.2">
      <c r="A46" s="66" t="s">
        <v>60</v>
      </c>
      <c r="B46" s="4">
        <v>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f t="shared" ref="H46" si="11">SUM(C46:G46)</f>
        <v>0</v>
      </c>
      <c r="I46" s="67">
        <v>-200000</v>
      </c>
      <c r="J46" s="68">
        <f t="shared" ref="J46" si="12">SUM(H46:I46)</f>
        <v>-200000</v>
      </c>
    </row>
    <row r="47" spans="1:10" x14ac:dyDescent="0.2">
      <c r="A47" s="66" t="s">
        <v>50</v>
      </c>
      <c r="B47" s="4">
        <v>1</v>
      </c>
      <c r="C47" s="67">
        <v>291500</v>
      </c>
      <c r="D47" s="7">
        <v>0</v>
      </c>
      <c r="E47" s="7">
        <v>0</v>
      </c>
      <c r="F47" s="7">
        <v>0</v>
      </c>
      <c r="G47" s="7">
        <v>0</v>
      </c>
      <c r="H47" s="67">
        <f t="shared" si="9"/>
        <v>291500</v>
      </c>
      <c r="I47" s="7">
        <v>0</v>
      </c>
      <c r="J47" s="68">
        <f t="shared" si="10"/>
        <v>291500</v>
      </c>
    </row>
    <row r="48" spans="1:10" x14ac:dyDescent="0.2">
      <c r="A48" s="66" t="s">
        <v>51</v>
      </c>
      <c r="B48" s="4">
        <v>1</v>
      </c>
      <c r="C48" s="69">
        <v>465700</v>
      </c>
      <c r="D48" s="70">
        <v>0</v>
      </c>
      <c r="E48" s="70">
        <v>0</v>
      </c>
      <c r="F48" s="70">
        <v>0</v>
      </c>
      <c r="G48" s="69">
        <f>-C48</f>
        <v>-465700</v>
      </c>
      <c r="H48" s="70">
        <f t="shared" si="9"/>
        <v>0</v>
      </c>
      <c r="I48" s="70">
        <v>0</v>
      </c>
      <c r="J48" s="71">
        <f t="shared" si="10"/>
        <v>0</v>
      </c>
    </row>
    <row r="49" spans="1:10" x14ac:dyDescent="0.2">
      <c r="A49" s="27" t="s">
        <v>52</v>
      </c>
      <c r="C49" s="43">
        <f>SUM(C44:C48)</f>
        <v>1430600</v>
      </c>
      <c r="D49" s="43">
        <f t="shared" ref="D49:J49" si="13">SUM(D44:D48)</f>
        <v>0</v>
      </c>
      <c r="E49" s="43">
        <f t="shared" si="13"/>
        <v>0</v>
      </c>
      <c r="F49" s="43">
        <f t="shared" si="13"/>
        <v>0</v>
      </c>
      <c r="G49" s="43">
        <f t="shared" si="13"/>
        <v>-465700</v>
      </c>
      <c r="H49" s="43">
        <f t="shared" si="13"/>
        <v>964900</v>
      </c>
      <c r="I49" s="43">
        <f t="shared" si="13"/>
        <v>-200000</v>
      </c>
      <c r="J49" s="43">
        <f t="shared" si="13"/>
        <v>764900</v>
      </c>
    </row>
    <row r="50" spans="1:10" x14ac:dyDescent="0.2">
      <c r="A50" s="42"/>
      <c r="C50" s="17"/>
      <c r="D50" s="17"/>
      <c r="E50" s="17"/>
      <c r="F50" s="17"/>
      <c r="G50" s="17"/>
      <c r="H50" s="17"/>
      <c r="I50" s="17"/>
      <c r="J50" s="17"/>
    </row>
    <row r="51" spans="1:10" ht="13.5" thickBot="1" x14ac:dyDescent="0.25">
      <c r="A51" s="44" t="s">
        <v>53</v>
      </c>
      <c r="B51" s="17"/>
      <c r="C51" s="26">
        <f>C41+C49</f>
        <v>3089594.690432</v>
      </c>
      <c r="D51" s="26">
        <f t="shared" ref="D51:J51" si="14">D41+D49</f>
        <v>-1136464.1841</v>
      </c>
      <c r="E51" s="26">
        <f t="shared" si="14"/>
        <v>309763.17913728004</v>
      </c>
      <c r="F51" s="26">
        <f t="shared" si="14"/>
        <v>-98579</v>
      </c>
      <c r="G51" s="26">
        <f t="shared" si="14"/>
        <v>-85422.554400000023</v>
      </c>
      <c r="H51" s="26">
        <f t="shared" si="14"/>
        <v>2078892.13106928</v>
      </c>
      <c r="I51" s="26">
        <f t="shared" si="14"/>
        <v>-1223276</v>
      </c>
      <c r="J51" s="26">
        <f t="shared" si="14"/>
        <v>855616.13106927997</v>
      </c>
    </row>
    <row r="52" spans="1:10" ht="13.5" thickTop="1" x14ac:dyDescent="0.2">
      <c r="A52" s="24"/>
    </row>
    <row r="53" spans="1:10" x14ac:dyDescent="0.2">
      <c r="A53" s="45" t="s">
        <v>54</v>
      </c>
    </row>
  </sheetData>
  <pageMargins left="0.7" right="0.7" top="0.75" bottom="0.75" header="0.3" footer="0.3"/>
  <pageSetup scale="6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Cash Flow - Budget</dc:title>
  <dc:subject/>
  <dc:creator>mcleg</dc:creator>
  <cp:keywords/>
  <dc:description/>
  <cp:lastModifiedBy>Bill Cielo</cp:lastModifiedBy>
  <cp:revision/>
  <dcterms:created xsi:type="dcterms:W3CDTF">2020-07-31T11:14:23Z</dcterms:created>
  <dcterms:modified xsi:type="dcterms:W3CDTF">2021-03-15T15:44:43Z</dcterms:modified>
  <cp:category/>
  <cp:contentStatus/>
</cp:coreProperties>
</file>